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hcfpp01\Groups\HTS\Proposals\AASHTO\AASHTO\HSM2\1_Documents\8_HSMSpreadsheets\1_RuralTwoLane\"/>
    </mc:Choice>
  </mc:AlternateContent>
  <xr:revisionPtr revIDLastSave="0" documentId="13_ncr:1_{1F4A009C-FE6F-465A-A53D-99AF4B3B67C6}" xr6:coauthVersionLast="41" xr6:coauthVersionMax="41" xr10:uidLastSave="{00000000-0000-0000-0000-000000000000}"/>
  <bookViews>
    <workbookView xWindow="-52908" yWindow="84" windowWidth="29016" windowHeight="15816" tabRatio="716" xr2:uid="{00000000-000D-0000-FFFF-FFFF00000000}"/>
  </bookViews>
  <sheets>
    <sheet name="Instructions" sheetId="19" r:id="rId1"/>
    <sheet name="Segment_1" sheetId="26" r:id="rId2"/>
    <sheet name="Intersection_1" sheetId="14" r:id="rId3"/>
    <sheet name="Summary Tables (Site Totals)" sheetId="20" r:id="rId4"/>
    <sheet name="Summary Tables (Project Total)" sheetId="21" r:id="rId5"/>
    <sheet name="Reference Tables (Segment)" sheetId="24" r:id="rId6"/>
    <sheet name="Reference Tables (Intersection)" sheetId="25" r:id="rId7"/>
    <sheet name="Construction - Do Not Delete" sheetId="10" state="hidden" r:id="rId8"/>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PLane">'Construction - Do Not Delete'!$J$17:$J$18</definedName>
    <definedName name="PLane2">'Construction - Do Not Delete'!$J$17:$J$19</definedName>
    <definedName name="RApproach">'Construction - Do Not Delete'!$H$29:$H$33</definedName>
    <definedName name="RHR">'Construction - Do Not Delete'!$F$4:$F$10</definedName>
    <definedName name="Shld2">'Construction - Do Not Delete'!$J$37:$J$47</definedName>
    <definedName name="SpEnforce">'Construction - Do Not Delete'!$J$23:$J$24</definedName>
    <definedName name="Spiral">'Construction - Do Not Delete'!$F$17:$F$18</definedName>
    <definedName name="Spiral2">'Construction - Do Not Delete'!$F$17:$F$19</definedName>
    <definedName name="SSlope">'Construction - Do Not Delete'!$H$37:$H$41</definedName>
    <definedName name="SType">'Construction - Do Not Delete'!$D$17:$D$20</definedName>
    <definedName name="SWidth">'Construction - Do Not Delete'!$D$4:$D$12</definedName>
    <definedName name="TWLTL">'Construction - Do Not Delete'!$F$23:$F$24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20" l="1"/>
  <c r="J85" i="26" l="1"/>
  <c r="G31" i="20"/>
  <c r="G21" i="20"/>
  <c r="N15" i="26"/>
  <c r="O9" i="14"/>
  <c r="J84" i="26"/>
  <c r="J74" i="26"/>
  <c r="F74" i="26"/>
  <c r="C74" i="26"/>
  <c r="J73" i="26"/>
  <c r="F73" i="26"/>
  <c r="C73" i="26"/>
  <c r="J72" i="26"/>
  <c r="F72" i="26"/>
  <c r="C72" i="26"/>
  <c r="J71" i="26"/>
  <c r="F71" i="26"/>
  <c r="C71" i="26"/>
  <c r="J70" i="26"/>
  <c r="F70" i="26"/>
  <c r="C70" i="26"/>
  <c r="J67" i="26"/>
  <c r="F67" i="26"/>
  <c r="C67" i="26"/>
  <c r="J66" i="26"/>
  <c r="F66" i="26"/>
  <c r="C66" i="26"/>
  <c r="J65" i="26"/>
  <c r="F65" i="26"/>
  <c r="C65" i="26"/>
  <c r="J64" i="26"/>
  <c r="F64" i="26"/>
  <c r="C64" i="26"/>
  <c r="J63" i="26"/>
  <c r="F63" i="26"/>
  <c r="C63" i="26"/>
  <c r="J62" i="26"/>
  <c r="F62" i="26"/>
  <c r="F68" i="26" s="1"/>
  <c r="C62" i="26"/>
  <c r="C68" i="26" s="1"/>
  <c r="K51" i="26"/>
  <c r="K50" i="26"/>
  <c r="K49" i="26"/>
  <c r="D49" i="26"/>
  <c r="L41" i="26"/>
  <c r="K41" i="26"/>
  <c r="J41" i="26"/>
  <c r="I41" i="26"/>
  <c r="H41" i="26"/>
  <c r="G41" i="26"/>
  <c r="F41" i="26"/>
  <c r="E41" i="26"/>
  <c r="D41" i="26"/>
  <c r="AG33" i="26"/>
  <c r="AG32" i="26" s="1"/>
  <c r="AH32" i="26"/>
  <c r="AF32" i="26"/>
  <c r="AH30" i="26"/>
  <c r="AF30" i="26"/>
  <c r="AG29" i="26"/>
  <c r="AG30" i="26" s="1"/>
  <c r="AH28" i="26"/>
  <c r="AF28" i="26"/>
  <c r="AG27" i="26"/>
  <c r="AH26" i="26"/>
  <c r="AF26" i="26"/>
  <c r="AG25" i="26"/>
  <c r="U18" i="26"/>
  <c r="U16" i="26"/>
  <c r="AH14" i="26"/>
  <c r="AF14" i="26"/>
  <c r="U14" i="26"/>
  <c r="AG13" i="26"/>
  <c r="AG14" i="26" s="1"/>
  <c r="AH12" i="26"/>
  <c r="AF12" i="26"/>
  <c r="AG11" i="26"/>
  <c r="A41" i="26"/>
  <c r="AH10" i="26"/>
  <c r="AF10" i="26"/>
  <c r="N10" i="26"/>
  <c r="AG9" i="26"/>
  <c r="AA8" i="26"/>
  <c r="U8" i="26"/>
  <c r="AA6" i="26"/>
  <c r="U6" i="26"/>
  <c r="E11" i="14"/>
  <c r="N11" i="14" s="1"/>
  <c r="E10" i="14"/>
  <c r="N10" i="14" s="1"/>
  <c r="I24" i="14"/>
  <c r="E16" i="25"/>
  <c r="G16" i="25"/>
  <c r="I16" i="25"/>
  <c r="I17" i="25" s="1"/>
  <c r="I18" i="25" s="1"/>
  <c r="K16" i="25"/>
  <c r="M16" i="25"/>
  <c r="M17" i="25" s="1"/>
  <c r="O16" i="25"/>
  <c r="O17" i="25"/>
  <c r="E35" i="25"/>
  <c r="F54" i="14" s="1"/>
  <c r="F35" i="25"/>
  <c r="F43" i="25" s="1"/>
  <c r="G35" i="25"/>
  <c r="C54" i="14" s="1"/>
  <c r="H35" i="25"/>
  <c r="H43" i="25" s="1"/>
  <c r="I35" i="25"/>
  <c r="I43" i="25" s="1"/>
  <c r="J35" i="25"/>
  <c r="K35" i="25"/>
  <c r="L35" i="25"/>
  <c r="M35" i="25"/>
  <c r="M43" i="25" s="1"/>
  <c r="N35" i="25"/>
  <c r="N43" i="25" s="1"/>
  <c r="O35" i="25"/>
  <c r="O43" i="25" s="1"/>
  <c r="P35" i="25"/>
  <c r="Q35" i="25"/>
  <c r="R35" i="25"/>
  <c r="S35" i="25"/>
  <c r="T35" i="25"/>
  <c r="T43" i="25" s="1"/>
  <c r="U35" i="25"/>
  <c r="U43" i="25" s="1"/>
  <c r="V35" i="25"/>
  <c r="E42" i="25"/>
  <c r="F42" i="25"/>
  <c r="J61" i="14"/>
  <c r="G42" i="25"/>
  <c r="C61" i="14" s="1"/>
  <c r="H42" i="25"/>
  <c r="I42" i="25"/>
  <c r="J42" i="25"/>
  <c r="K42" i="25"/>
  <c r="L42" i="25"/>
  <c r="M42" i="25"/>
  <c r="N42" i="25"/>
  <c r="O42" i="25"/>
  <c r="P42" i="25"/>
  <c r="Q42" i="25"/>
  <c r="R42" i="25"/>
  <c r="S42" i="25"/>
  <c r="T42" i="25"/>
  <c r="U42" i="25"/>
  <c r="V42" i="25"/>
  <c r="J43" i="25"/>
  <c r="X9" i="24"/>
  <c r="Z9" i="24"/>
  <c r="X10" i="24"/>
  <c r="Z10" i="24"/>
  <c r="X11" i="24"/>
  <c r="Z11" i="24"/>
  <c r="X12" i="24"/>
  <c r="Z12" i="24"/>
  <c r="E13" i="24"/>
  <c r="E14" i="24" s="1"/>
  <c r="F51" i="26" s="1"/>
  <c r="D85" i="26" s="1"/>
  <c r="H13" i="24"/>
  <c r="H14" i="24" s="1"/>
  <c r="H15" i="24"/>
  <c r="E31" i="24"/>
  <c r="E39" i="24" s="1"/>
  <c r="F31" i="24"/>
  <c r="F39" i="24" s="1"/>
  <c r="G31" i="24"/>
  <c r="I31" i="24"/>
  <c r="I39" i="24" s="1"/>
  <c r="J31" i="24"/>
  <c r="K31" i="24"/>
  <c r="E38" i="24"/>
  <c r="F38" i="24"/>
  <c r="G38" i="24"/>
  <c r="I38" i="24"/>
  <c r="J38" i="24"/>
  <c r="K38" i="24"/>
  <c r="J60" i="14"/>
  <c r="F60" i="14"/>
  <c r="C60" i="14"/>
  <c r="J59" i="14"/>
  <c r="F59" i="14"/>
  <c r="C59" i="14"/>
  <c r="J58" i="14"/>
  <c r="F58" i="14"/>
  <c r="C58" i="14"/>
  <c r="J57" i="14"/>
  <c r="F57" i="14"/>
  <c r="C57" i="14"/>
  <c r="J56" i="14"/>
  <c r="F56" i="14"/>
  <c r="C56" i="14"/>
  <c r="J53" i="14"/>
  <c r="F53" i="14"/>
  <c r="C53" i="14"/>
  <c r="J52" i="14"/>
  <c r="F52" i="14"/>
  <c r="C52" i="14"/>
  <c r="J51" i="14"/>
  <c r="F51" i="14"/>
  <c r="C51" i="14"/>
  <c r="J50" i="14"/>
  <c r="F50" i="14"/>
  <c r="C50" i="14"/>
  <c r="J49" i="14"/>
  <c r="F49" i="14"/>
  <c r="C49" i="14"/>
  <c r="J48" i="14"/>
  <c r="F48" i="14"/>
  <c r="C48" i="14"/>
  <c r="F61" i="14"/>
  <c r="J35" i="14"/>
  <c r="J34" i="14"/>
  <c r="J33" i="14"/>
  <c r="E33" i="14"/>
  <c r="C33" i="14"/>
  <c r="F24" i="14"/>
  <c r="D24" i="14"/>
  <c r="A24" i="14"/>
  <c r="K17" i="25"/>
  <c r="K18" i="25" s="1"/>
  <c r="L43" i="25"/>
  <c r="C49" i="26"/>
  <c r="J83" i="26"/>
  <c r="E16" i="21"/>
  <c r="F22" i="21"/>
  <c r="D24" i="21"/>
  <c r="H22" i="21"/>
  <c r="F16" i="20"/>
  <c r="D18" i="21"/>
  <c r="F18" i="20"/>
  <c r="D15" i="20"/>
  <c r="F25" i="21"/>
  <c r="H25" i="20"/>
  <c r="D30" i="20"/>
  <c r="D23" i="21"/>
  <c r="H20" i="20"/>
  <c r="H26" i="20"/>
  <c r="H28" i="20"/>
  <c r="D17" i="21"/>
  <c r="E28" i="21"/>
  <c r="F14" i="20"/>
  <c r="D26" i="21"/>
  <c r="F14" i="21"/>
  <c r="D20" i="20"/>
  <c r="F26" i="21"/>
  <c r="E13" i="21"/>
  <c r="F13" i="21"/>
  <c r="F27" i="20"/>
  <c r="F28" i="21"/>
  <c r="H25" i="21"/>
  <c r="E17" i="21"/>
  <c r="F16" i="21"/>
  <c r="D15" i="21"/>
  <c r="H11" i="21"/>
  <c r="H30" i="20"/>
  <c r="E17" i="20"/>
  <c r="F30" i="20"/>
  <c r="D22" i="21"/>
  <c r="D14" i="20"/>
  <c r="F25" i="20"/>
  <c r="E15" i="20"/>
  <c r="H17" i="21"/>
  <c r="F27" i="21"/>
  <c r="F17" i="21"/>
  <c r="H24" i="20"/>
  <c r="D19" i="20"/>
  <c r="H16" i="21"/>
  <c r="E27" i="20"/>
  <c r="D25" i="21"/>
  <c r="F28" i="20"/>
  <c r="D16" i="20"/>
  <c r="E16" i="20"/>
  <c r="D28" i="20"/>
  <c r="H29" i="20"/>
  <c r="E26" i="20"/>
  <c r="F19" i="20"/>
  <c r="E15" i="21"/>
  <c r="D26" i="20"/>
  <c r="D28" i="21"/>
  <c r="D17" i="20"/>
  <c r="E24" i="20"/>
  <c r="H26" i="21"/>
  <c r="H23" i="20"/>
  <c r="D27" i="21"/>
  <c r="H14" i="21"/>
  <c r="H27" i="21"/>
  <c r="D25" i="20"/>
  <c r="E22" i="21"/>
  <c r="H13" i="21"/>
  <c r="E18" i="20"/>
  <c r="H18" i="20"/>
  <c r="D12" i="21"/>
  <c r="H19" i="20"/>
  <c r="H18" i="21"/>
  <c r="F24" i="20"/>
  <c r="H17" i="20"/>
  <c r="E19" i="20"/>
  <c r="E18" i="21"/>
  <c r="E24" i="21"/>
  <c r="E14" i="21"/>
  <c r="F29" i="20"/>
  <c r="H15" i="20"/>
  <c r="H28" i="21"/>
  <c r="F24" i="21"/>
  <c r="H16" i="20"/>
  <c r="F15" i="21"/>
  <c r="F20" i="20"/>
  <c r="E26" i="21"/>
  <c r="E27" i="21"/>
  <c r="H21" i="21"/>
  <c r="E23" i="21"/>
  <c r="H27" i="20"/>
  <c r="E14" i="20"/>
  <c r="F15" i="20"/>
  <c r="D29" i="20"/>
  <c r="D13" i="21"/>
  <c r="D24" i="20"/>
  <c r="F12" i="21"/>
  <c r="H24" i="21"/>
  <c r="H23" i="21"/>
  <c r="E28" i="20"/>
  <c r="F18" i="21"/>
  <c r="E12" i="21"/>
  <c r="D14" i="21"/>
  <c r="E30" i="20"/>
  <c r="D16" i="21"/>
  <c r="E29" i="20"/>
  <c r="F17" i="20"/>
  <c r="F23" i="21"/>
  <c r="E25" i="21"/>
  <c r="E25" i="20"/>
  <c r="D27" i="20"/>
  <c r="H13" i="20"/>
  <c r="E20" i="20"/>
  <c r="D18" i="20"/>
  <c r="H15" i="21"/>
  <c r="F26" i="20"/>
  <c r="H14" i="20"/>
  <c r="H12" i="21"/>
  <c r="U20" i="26" l="1"/>
  <c r="U22" i="26" s="1"/>
  <c r="C41" i="26" s="1"/>
  <c r="H51" i="26"/>
  <c r="E43" i="25"/>
  <c r="F45" i="14" s="1"/>
  <c r="S43" i="25"/>
  <c r="J68" i="26"/>
  <c r="Q43" i="25"/>
  <c r="C75" i="26"/>
  <c r="P43" i="25"/>
  <c r="O18" i="25"/>
  <c r="K43" i="25"/>
  <c r="U10" i="26"/>
  <c r="J75" i="26"/>
  <c r="V43" i="25"/>
  <c r="AA10" i="26"/>
  <c r="F75" i="26"/>
  <c r="AG10" i="26"/>
  <c r="B41" i="26"/>
  <c r="AG12" i="26"/>
  <c r="I16" i="20"/>
  <c r="J16" i="20" s="1"/>
  <c r="I17" i="20"/>
  <c r="J17" i="20" s="1"/>
  <c r="I14" i="20"/>
  <c r="J14" i="20" s="1"/>
  <c r="I19" i="20"/>
  <c r="J19" i="20" s="1"/>
  <c r="I27" i="20"/>
  <c r="J27" i="20" s="1"/>
  <c r="I15" i="20"/>
  <c r="J15" i="20" s="1"/>
  <c r="I26" i="20"/>
  <c r="J26" i="20" s="1"/>
  <c r="I25" i="20"/>
  <c r="J25" i="20" s="1"/>
  <c r="I30" i="20"/>
  <c r="J30" i="20" s="1"/>
  <c r="I20" i="20"/>
  <c r="J20" i="20" s="1"/>
  <c r="I18" i="20"/>
  <c r="J18" i="20" s="1"/>
  <c r="I29" i="20"/>
  <c r="J29" i="20" s="1"/>
  <c r="I28" i="20"/>
  <c r="J28" i="20" s="1"/>
  <c r="I24" i="20"/>
  <c r="J24" i="20" s="1"/>
  <c r="I28" i="21"/>
  <c r="J28" i="21"/>
  <c r="I25" i="21"/>
  <c r="J25" i="21"/>
  <c r="I24" i="21"/>
  <c r="J24" i="21"/>
  <c r="J27" i="21"/>
  <c r="I27" i="21"/>
  <c r="J26" i="21"/>
  <c r="I26" i="21"/>
  <c r="J23" i="21"/>
  <c r="I23" i="21"/>
  <c r="I22" i="21"/>
  <c r="J22" i="21"/>
  <c r="J45" i="14"/>
  <c r="J39" i="24"/>
  <c r="G17" i="25"/>
  <c r="G18" i="25" s="1"/>
  <c r="C59" i="26"/>
  <c r="F59" i="26"/>
  <c r="M18" i="25"/>
  <c r="L24" i="14"/>
  <c r="G43" i="25"/>
  <c r="R43" i="25"/>
  <c r="J54" i="14"/>
  <c r="AG28" i="26"/>
  <c r="AG26" i="26"/>
  <c r="E15" i="24"/>
  <c r="E17" i="25"/>
  <c r="E18" i="25" s="1"/>
  <c r="F34" i="14"/>
  <c r="F50" i="26"/>
  <c r="M41" i="26" l="1"/>
  <c r="J50" i="26" s="1"/>
  <c r="F33" i="14"/>
  <c r="I35" i="14"/>
  <c r="I33" i="14"/>
  <c r="I34" i="14"/>
  <c r="D84" i="26"/>
  <c r="H50" i="26"/>
  <c r="F35" i="14"/>
  <c r="F49" i="26"/>
  <c r="E69" i="14"/>
  <c r="G34" i="14"/>
  <c r="C45" i="14"/>
  <c r="J49" i="26" l="1"/>
  <c r="L50" i="26"/>
  <c r="H72" i="26" s="1"/>
  <c r="J51" i="26"/>
  <c r="L51" i="26" s="1"/>
  <c r="L65" i="26" s="1"/>
  <c r="G33" i="14"/>
  <c r="L33" i="14" s="1"/>
  <c r="E68" i="14"/>
  <c r="E70" i="14"/>
  <c r="G35" i="14"/>
  <c r="L35" i="14" s="1"/>
  <c r="D83" i="26"/>
  <c r="H49" i="26"/>
  <c r="L34" i="14"/>
  <c r="L49" i="26" l="1"/>
  <c r="D74" i="26" s="1"/>
  <c r="H68" i="26"/>
  <c r="H74" i="26"/>
  <c r="H71" i="26"/>
  <c r="H66" i="26"/>
  <c r="H64" i="26"/>
  <c r="L74" i="26"/>
  <c r="H65" i="26"/>
  <c r="L71" i="26"/>
  <c r="H73" i="26"/>
  <c r="H59" i="26"/>
  <c r="L59" i="26"/>
  <c r="L62" i="26"/>
  <c r="L72" i="26"/>
  <c r="L70" i="26"/>
  <c r="H62" i="26"/>
  <c r="H75" i="26"/>
  <c r="L73" i="26"/>
  <c r="H70" i="26"/>
  <c r="L63" i="26"/>
  <c r="G84" i="26"/>
  <c r="H67" i="26"/>
  <c r="H63" i="26"/>
  <c r="L67" i="26"/>
  <c r="L66" i="26"/>
  <c r="L64" i="26"/>
  <c r="G85" i="26"/>
  <c r="L68" i="26"/>
  <c r="L45" i="14"/>
  <c r="I70" i="14"/>
  <c r="D45" i="14"/>
  <c r="I68" i="14"/>
  <c r="H45" i="14"/>
  <c r="I69" i="14"/>
  <c r="E13" i="20"/>
  <c r="E11" i="21"/>
  <c r="F13" i="20"/>
  <c r="F11" i="21"/>
  <c r="F23" i="20"/>
  <c r="F21" i="21"/>
  <c r="E21" i="21"/>
  <c r="E23" i="20"/>
  <c r="D23" i="20"/>
  <c r="D21" i="21"/>
  <c r="D72" i="26" l="1"/>
  <c r="D66" i="26"/>
  <c r="D62" i="26"/>
  <c r="D68" i="26"/>
  <c r="G83" i="26"/>
  <c r="L83" i="26" s="1"/>
  <c r="D73" i="26"/>
  <c r="D63" i="26"/>
  <c r="D67" i="26"/>
  <c r="D71" i="26"/>
  <c r="D65" i="26"/>
  <c r="D75" i="26"/>
  <c r="D70" i="26"/>
  <c r="D59" i="26"/>
  <c r="D64" i="26"/>
  <c r="L75" i="26"/>
  <c r="L84" i="26"/>
  <c r="F21" i="20"/>
  <c r="L85" i="26"/>
  <c r="F32" i="20"/>
  <c r="E32" i="20"/>
  <c r="D31" i="20"/>
  <c r="F29" i="21"/>
  <c r="E29" i="21"/>
  <c r="F19" i="21"/>
  <c r="E19" i="21"/>
  <c r="E21" i="20"/>
  <c r="D49" i="14"/>
  <c r="D60" i="14"/>
  <c r="D51" i="14"/>
  <c r="D48" i="14"/>
  <c r="D59" i="14"/>
  <c r="D61" i="14"/>
  <c r="D52" i="14"/>
  <c r="D53" i="14"/>
  <c r="D57" i="14"/>
  <c r="D58" i="14"/>
  <c r="D54" i="14"/>
  <c r="D56" i="14"/>
  <c r="D50" i="14"/>
  <c r="E31" i="20"/>
  <c r="E30" i="21"/>
  <c r="E43" i="21" s="1"/>
  <c r="H50" i="14"/>
  <c r="H49" i="14"/>
  <c r="H60" i="14"/>
  <c r="H51" i="14"/>
  <c r="H58" i="14"/>
  <c r="H56" i="14"/>
  <c r="H61" i="14"/>
  <c r="H59" i="14"/>
  <c r="H48" i="14"/>
  <c r="H54" i="14"/>
  <c r="H53" i="14"/>
  <c r="H52" i="14"/>
  <c r="H57" i="14"/>
  <c r="F30" i="21"/>
  <c r="E45" i="21" s="1"/>
  <c r="L51" i="14"/>
  <c r="L61" i="14"/>
  <c r="L48" i="14"/>
  <c r="L53" i="14"/>
  <c r="L56" i="14"/>
  <c r="L57" i="14"/>
  <c r="L59" i="14"/>
  <c r="L52" i="14"/>
  <c r="L58" i="14"/>
  <c r="L49" i="14"/>
  <c r="L54" i="14"/>
  <c r="L60" i="14"/>
  <c r="L50" i="14"/>
  <c r="D13" i="20"/>
  <c r="D11" i="21"/>
  <c r="I11" i="21" l="1"/>
  <c r="J11" i="21"/>
  <c r="D32" i="20"/>
  <c r="E41" i="20" s="1"/>
  <c r="I18" i="21"/>
  <c r="J18" i="21"/>
  <c r="I14" i="21"/>
  <c r="J14" i="21"/>
  <c r="D29" i="21"/>
  <c r="I21" i="21"/>
  <c r="J21" i="21"/>
  <c r="I23" i="20"/>
  <c r="J23" i="20" s="1"/>
  <c r="J31" i="20" s="1"/>
  <c r="E43" i="20"/>
  <c r="F31" i="20"/>
  <c r="E45" i="20"/>
  <c r="D19" i="21"/>
  <c r="D30" i="21"/>
  <c r="E41" i="21" s="1"/>
  <c r="I16" i="21"/>
  <c r="J16" i="21"/>
  <c r="J15" i="21"/>
  <c r="I15" i="21"/>
  <c r="D21" i="20"/>
  <c r="I13" i="20"/>
  <c r="J13" i="20" s="1"/>
  <c r="J13" i="21"/>
  <c r="I13" i="21"/>
  <c r="J17" i="21"/>
  <c r="I17" i="21"/>
  <c r="I12" i="21"/>
  <c r="J12" i="21"/>
  <c r="J32" i="20" l="1"/>
  <c r="J30" i="21"/>
  <c r="I30" i="21"/>
  <c r="K30" i="21" s="1"/>
  <c r="J21" i="20"/>
  <c r="M30" i="21" l="1"/>
  <c r="N30" i="21" s="1"/>
  <c r="H41" i="20"/>
  <c r="H43" i="20"/>
  <c r="H45" i="20"/>
  <c r="L30" i="21" l="1"/>
  <c r="O30" i="21" l="1"/>
  <c r="H45" i="21" s="1"/>
  <c r="H41" i="21" l="1"/>
  <c r="H43" i="21"/>
</calcChain>
</file>

<file path=xl/sharedStrings.xml><?xml version="1.0" encoding="utf-8"?>
<sst xmlns="http://schemas.openxmlformats.org/spreadsheetml/2006/main" count="887" uniqueCount="458">
  <si>
    <t>Worksheet 1A -- General Information and Input Data for Rural Two-Lane Two-Way Roadway Segments</t>
  </si>
  <si>
    <t>General Information</t>
  </si>
  <si>
    <t>Analyst</t>
  </si>
  <si>
    <t>Agency or Company</t>
  </si>
  <si>
    <t>Date Performed</t>
  </si>
  <si>
    <t>Input Data</t>
  </si>
  <si>
    <t>Length of segment, L (mi)</t>
  </si>
  <si>
    <t>AADT (veh/day)</t>
  </si>
  <si>
    <t>Lane width (ft)</t>
  </si>
  <si>
    <t>Shoulder width (ft)</t>
  </si>
  <si>
    <t>Shoulder type</t>
  </si>
  <si>
    <t>Length of horizontal curve (mi)</t>
  </si>
  <si>
    <t>Radius of curvature (ft)</t>
  </si>
  <si>
    <t>Spiral transition curve (present/not present)</t>
  </si>
  <si>
    <t>Superelevation variance (ft/ft)</t>
  </si>
  <si>
    <t>Grade (%)</t>
  </si>
  <si>
    <t>Driveway density (driveways/mile)</t>
  </si>
  <si>
    <t>Centerline rumble strips (present/not present)</t>
  </si>
  <si>
    <t>Two-way left-turn lane (present/not present)</t>
  </si>
  <si>
    <t>Roadside hazard rating (1-7 scale)</t>
  </si>
  <si>
    <t>Segment lighting (present/not present)</t>
  </si>
  <si>
    <t>Auto speed enforcement (present/not present)</t>
  </si>
  <si>
    <t>Calibration Factor, Cr</t>
  </si>
  <si>
    <t>Location Information</t>
  </si>
  <si>
    <t>Roadway</t>
  </si>
  <si>
    <t>Roadway Section</t>
  </si>
  <si>
    <t>Jurisdiction</t>
  </si>
  <si>
    <t>Analysis Year</t>
  </si>
  <si>
    <t>Base Conditions</t>
  </si>
  <si>
    <t>--</t>
  </si>
  <si>
    <t>Site Conditions</t>
  </si>
  <si>
    <t>Worksheet 1B -- Crash Modification Factors for Rural Two-Lane Two-Way Roadway Segments</t>
  </si>
  <si>
    <t>(1)</t>
  </si>
  <si>
    <t>(2)</t>
  </si>
  <si>
    <t>(3)</t>
  </si>
  <si>
    <t>(4)</t>
  </si>
  <si>
    <t>(5)</t>
  </si>
  <si>
    <t>(6)</t>
  </si>
  <si>
    <t>(7)</t>
  </si>
  <si>
    <t>(8)</t>
  </si>
  <si>
    <t>(9)</t>
  </si>
  <si>
    <t>(10)</t>
  </si>
  <si>
    <t>(11)</t>
  </si>
  <si>
    <t>(12)</t>
  </si>
  <si>
    <t>(13)</t>
  </si>
  <si>
    <t>CMF for Lane Width</t>
  </si>
  <si>
    <t>CMF for Shoulder Width and Type</t>
  </si>
  <si>
    <t>CMF for Horizontal Curves</t>
  </si>
  <si>
    <t>CMF for Grades</t>
  </si>
  <si>
    <t>CMF for Driveway Density</t>
  </si>
  <si>
    <t>CMF for Centerline Rumble Strips</t>
  </si>
  <si>
    <t>CMF for Passing Lanes</t>
  </si>
  <si>
    <t>CMF for Two-Way Left-Turn Lane</t>
  </si>
  <si>
    <t>CMF for Roadside Design</t>
  </si>
  <si>
    <t>CMF for Lighting</t>
  </si>
  <si>
    <t>CMF for Automated Speed Enforcement</t>
  </si>
  <si>
    <t>CMF 1r</t>
  </si>
  <si>
    <t>CMF 2r</t>
  </si>
  <si>
    <t>CMF 3r</t>
  </si>
  <si>
    <t>CMF 4r</t>
  </si>
  <si>
    <t>CMR 5r</t>
  </si>
  <si>
    <t>CMF 6r</t>
  </si>
  <si>
    <t>CMF 7r</t>
  </si>
  <si>
    <t>CMF 9r</t>
  </si>
  <si>
    <t>CMF 8r</t>
  </si>
  <si>
    <t>CMF 10r</t>
  </si>
  <si>
    <t>CMF 11r</t>
  </si>
  <si>
    <t>CMF 12r</t>
  </si>
  <si>
    <t>CMF comb</t>
  </si>
  <si>
    <t>from Equation 10-11</t>
  </si>
  <si>
    <t>from Equation 10-12</t>
  </si>
  <si>
    <t>from Equation 10-13</t>
  </si>
  <si>
    <t>from Equations 10-14, 10-15, or 10-16</t>
  </si>
  <si>
    <t>from Equation 10-17</t>
  </si>
  <si>
    <t>from Section 10.7.1</t>
  </si>
  <si>
    <t>from Equation 10-20</t>
  </si>
  <si>
    <t>from Equation 10-21</t>
  </si>
  <si>
    <t>(1)x(2)x … x(11)x(12)</t>
  </si>
  <si>
    <t>Worksheet 1C -- Roadway Segment Crashes for Rural Two-Lane Two-Way Roadway Segments</t>
  </si>
  <si>
    <t>Crash Severity Level</t>
  </si>
  <si>
    <t>N spf rs</t>
  </si>
  <si>
    <t>Overdispersion Parameter, k</t>
  </si>
  <si>
    <t>Crash Severity Distribution</t>
  </si>
  <si>
    <t>N spf rs by Severity Distribution</t>
  </si>
  <si>
    <t>Combined CMFs</t>
  </si>
  <si>
    <t xml:space="preserve">  from Equation 10-7</t>
  </si>
  <si>
    <r>
      <t>(2)</t>
    </r>
    <r>
      <rPr>
        <sz val="8"/>
        <rFont val="Arial"/>
        <family val="2"/>
      </rPr>
      <t>TOTAL</t>
    </r>
    <r>
      <rPr>
        <sz val="10"/>
        <rFont val="Arial"/>
        <family val="2"/>
      </rPr>
      <t xml:space="preserve"> x (4)</t>
    </r>
  </si>
  <si>
    <t>(13) from Worksheet 1B</t>
  </si>
  <si>
    <t>(5)x(6)x(7)</t>
  </si>
  <si>
    <t>Total</t>
  </si>
  <si>
    <t>Fatal and Injury (FI)</t>
  </si>
  <si>
    <t>Property Damage Only (PDO)</t>
  </si>
  <si>
    <t>Worksheet 1D -- Crashes by Severity Level and Collision Type for Rural Two-Lane Two-Way Roadway Segments</t>
  </si>
  <si>
    <t>Collision Type</t>
  </si>
  <si>
    <r>
      <t xml:space="preserve">N </t>
    </r>
    <r>
      <rPr>
        <b/>
        <i/>
        <sz val="6"/>
        <rFont val="Arial"/>
        <family val="2"/>
      </rPr>
      <t>predicted rs</t>
    </r>
    <r>
      <rPr>
        <b/>
        <sz val="6"/>
        <rFont val="Arial"/>
        <family val="2"/>
      </rPr>
      <t xml:space="preserve"> (TOTAL)</t>
    </r>
    <r>
      <rPr>
        <b/>
        <sz val="10"/>
        <rFont val="Arial"/>
        <family val="2"/>
      </rPr>
      <t xml:space="preserve"> (crashes/year)</t>
    </r>
  </si>
  <si>
    <r>
      <t>Proportion of Collision Type</t>
    </r>
    <r>
      <rPr>
        <b/>
        <sz val="6"/>
        <rFont val="Arial"/>
        <family val="2"/>
      </rPr>
      <t>(FI)</t>
    </r>
  </si>
  <si>
    <r>
      <t xml:space="preserve">N </t>
    </r>
    <r>
      <rPr>
        <b/>
        <i/>
        <sz val="6"/>
        <rFont val="Arial"/>
        <family val="2"/>
      </rPr>
      <t>predicted rs</t>
    </r>
    <r>
      <rPr>
        <b/>
        <sz val="6"/>
        <rFont val="Arial"/>
        <family val="2"/>
      </rPr>
      <t xml:space="preserve"> (FI)</t>
    </r>
    <r>
      <rPr>
        <b/>
        <sz val="10"/>
        <rFont val="Arial"/>
        <family val="2"/>
      </rPr>
      <t xml:space="preserve"> (crashes/year)</t>
    </r>
  </si>
  <si>
    <r>
      <t>Proportion of Collision Type</t>
    </r>
    <r>
      <rPr>
        <b/>
        <sz val="6"/>
        <rFont val="Arial"/>
        <family val="2"/>
      </rPr>
      <t>(TOTAL)</t>
    </r>
  </si>
  <si>
    <r>
      <t>Proportion of Collision Type</t>
    </r>
    <r>
      <rPr>
        <b/>
        <sz val="6"/>
        <rFont val="Arial"/>
        <family val="2"/>
      </rPr>
      <t>(PDO)</t>
    </r>
  </si>
  <si>
    <r>
      <t xml:space="preserve">N </t>
    </r>
    <r>
      <rPr>
        <b/>
        <i/>
        <sz val="6"/>
        <rFont val="Arial"/>
        <family val="2"/>
      </rPr>
      <t>predicted rs</t>
    </r>
    <r>
      <rPr>
        <b/>
        <sz val="6"/>
        <rFont val="Arial"/>
        <family val="2"/>
      </rPr>
      <t xml:space="preserve"> (PDO)</t>
    </r>
    <r>
      <rPr>
        <b/>
        <sz val="10"/>
        <rFont val="Arial"/>
        <family val="2"/>
      </rPr>
      <t xml:space="preserve"> (crashes/year)</t>
    </r>
  </si>
  <si>
    <r>
      <t>(8)</t>
    </r>
    <r>
      <rPr>
        <sz val="6"/>
        <rFont val="Arial"/>
        <family val="2"/>
      </rPr>
      <t>TOTAL</t>
    </r>
    <r>
      <rPr>
        <sz val="10"/>
        <rFont val="Arial"/>
        <family val="2"/>
      </rPr>
      <t xml:space="preserve"> from Worksheet 1C</t>
    </r>
  </si>
  <si>
    <r>
      <t>(8)</t>
    </r>
    <r>
      <rPr>
        <sz val="6"/>
        <rFont val="Arial"/>
        <family val="2"/>
      </rPr>
      <t>FI</t>
    </r>
    <r>
      <rPr>
        <sz val="10"/>
        <rFont val="Arial"/>
        <family val="2"/>
      </rPr>
      <t xml:space="preserve"> from Worksheet 1C</t>
    </r>
  </si>
  <si>
    <r>
      <t>(8)</t>
    </r>
    <r>
      <rPr>
        <sz val="6"/>
        <rFont val="Arial"/>
        <family val="2"/>
      </rPr>
      <t>PDO</t>
    </r>
    <r>
      <rPr>
        <sz val="10"/>
        <rFont val="Arial"/>
        <family val="2"/>
      </rPr>
      <t xml:space="preserve"> from Worksheet 1C</t>
    </r>
  </si>
  <si>
    <r>
      <t>(2)x(3)</t>
    </r>
    <r>
      <rPr>
        <sz val="6"/>
        <rFont val="Arial"/>
        <family val="2"/>
      </rPr>
      <t>TOTAL</t>
    </r>
  </si>
  <si>
    <r>
      <t>(4)x(5)</t>
    </r>
    <r>
      <rPr>
        <sz val="6"/>
        <rFont val="Arial"/>
        <family val="2"/>
      </rPr>
      <t>FI</t>
    </r>
  </si>
  <si>
    <r>
      <t>(6)x(7)</t>
    </r>
    <r>
      <rPr>
        <sz val="6"/>
        <rFont val="Arial"/>
        <family val="2"/>
      </rPr>
      <t>PDO</t>
    </r>
  </si>
  <si>
    <t>SINGLE-VEHICLE</t>
  </si>
  <si>
    <t>Collision with animal</t>
  </si>
  <si>
    <t>Collision with bicycle</t>
  </si>
  <si>
    <t>Collision with pedestrian</t>
  </si>
  <si>
    <t>Overturned</t>
  </si>
  <si>
    <t>Ran off road</t>
  </si>
  <si>
    <t>Other single-vehicle collision</t>
  </si>
  <si>
    <t>Total single-vehicle crashes</t>
  </si>
  <si>
    <t>MULTIPLE-VEHICLE</t>
  </si>
  <si>
    <t>Angle collision</t>
  </si>
  <si>
    <t>Head-on collision</t>
  </si>
  <si>
    <t>Rear-end collision</t>
  </si>
  <si>
    <t>Sideswipe collision</t>
  </si>
  <si>
    <t>Other multiple-vehicle collision</t>
  </si>
  <si>
    <t>Worksheet 1E -- Summary Results for Rural Two-Lane Two-Way Roadway Segments</t>
  </si>
  <si>
    <t>Crash severity level</t>
  </si>
  <si>
    <t>Predicted average crash frequency (crashes/year)</t>
  </si>
  <si>
    <t>Roadway segment length (mi)</t>
  </si>
  <si>
    <t>Crash rate (crashes/mi/year)</t>
  </si>
  <si>
    <t>(4) from Worksheet 1C</t>
  </si>
  <si>
    <t>(8) from Worksheet 1C</t>
  </si>
  <si>
    <t>(3)/(4)</t>
  </si>
  <si>
    <t>&lt; 0.01</t>
  </si>
  <si>
    <t>Lane Width (ft)</t>
  </si>
  <si>
    <t>Shoulder Width (ft)</t>
  </si>
  <si>
    <t>Shoulder Type</t>
  </si>
  <si>
    <t>Lane Width</t>
  </si>
  <si>
    <t>TWLTL</t>
  </si>
  <si>
    <t>Lighting</t>
  </si>
  <si>
    <t>&lt; 400</t>
  </si>
  <si>
    <t>400 to 2000</t>
  </si>
  <si>
    <t>&gt; 2000</t>
  </si>
  <si>
    <t>Fatal</t>
  </si>
  <si>
    <t>Incapacitating Injury</t>
  </si>
  <si>
    <t>Nonincapacitating Injury</t>
  </si>
  <si>
    <t>Possible Injury</t>
  </si>
  <si>
    <t>Total Fatal Plus Injury</t>
  </si>
  <si>
    <t>Property Damage Only</t>
  </si>
  <si>
    <t>TOTAL</t>
  </si>
  <si>
    <t>Percentage of total roadway segment crashes</t>
  </si>
  <si>
    <t>HSM-Provided Values</t>
  </si>
  <si>
    <t>Locally-Derived Values</t>
  </si>
  <si>
    <t>Collision type</t>
  </si>
  <si>
    <t>SINGLE-VEHICLE CRASHES</t>
  </si>
  <si>
    <t>Other single-vehicle crash</t>
  </si>
  <si>
    <t>MULTIPLE-VEHICLE CRASHES</t>
  </si>
  <si>
    <t>Total multiple-vehicle crashes</t>
  </si>
  <si>
    <t>TOTAL CRASHES</t>
  </si>
  <si>
    <t>Total fatal and injury</t>
  </si>
  <si>
    <t>Percentage of total roadway segment crashes by crash severity level</t>
  </si>
  <si>
    <t>Property damage only</t>
  </si>
  <si>
    <t>TOTAL (all severity levels combined)</t>
  </si>
  <si>
    <t>Shoulder Width</t>
  </si>
  <si>
    <t>RHR</t>
  </si>
  <si>
    <t>Paved</t>
  </si>
  <si>
    <t>Gravel</t>
  </si>
  <si>
    <t>Composite</t>
  </si>
  <si>
    <t>Turf</t>
  </si>
  <si>
    <t>Spiral</t>
  </si>
  <si>
    <t>Not Present</t>
  </si>
  <si>
    <t>Present</t>
  </si>
  <si>
    <t>Centerline</t>
  </si>
  <si>
    <t>Rumble Strips</t>
  </si>
  <si>
    <t>Passing</t>
  </si>
  <si>
    <t>Lane</t>
  </si>
  <si>
    <t>SpEnforce</t>
  </si>
  <si>
    <t>Percentage of total crashes</t>
  </si>
  <si>
    <t>Three-leg stop-controlled intersections</t>
  </si>
  <si>
    <t>Four-leg stop-controlled intersections</t>
  </si>
  <si>
    <t>Four-leg signalized intersections</t>
  </si>
  <si>
    <t>Nonincapacitating injury</t>
  </si>
  <si>
    <t>Incapacitating injury</t>
  </si>
  <si>
    <t>Possible injury</t>
  </si>
  <si>
    <t>Total fatal plus injury</t>
  </si>
  <si>
    <t>Fatal and Injury</t>
  </si>
  <si>
    <t>Fatal and injury</t>
  </si>
  <si>
    <t>Percentage of total crashes by collision type ( HSM Default Values)</t>
  </si>
  <si>
    <t>Percentage of total crashes by collision type (Locally Derived Values)</t>
  </si>
  <si>
    <t>Note: The collision types related to lane width to which this CMF applies include single-vehicle run-off-the-road and multiple-vehicle head-on, opposite-direction sideswipe, and same-direction sideswipe crashes.</t>
  </si>
  <si>
    <t>Note: The collision types related to shoulder width to which this CMF applies include single-vehicle run-off-the-road and multiple-vehicle head-on, opposite-direction sideswipe, and same-direction sideswipe crashes.</t>
  </si>
  <si>
    <t>CMF for Super-elevation</t>
  </si>
  <si>
    <t>Passing lanes [present (1 lane) /present (2 lane) / not present)]</t>
  </si>
  <si>
    <t>Present (1 lane)</t>
  </si>
  <si>
    <t>Present (2 lanes)</t>
  </si>
  <si>
    <t>2U</t>
  </si>
  <si>
    <r>
      <t>Fatal and Injury p</t>
    </r>
    <r>
      <rPr>
        <b/>
        <vertAlign val="subscript"/>
        <sz val="10"/>
        <rFont val="Arial"/>
        <family val="2"/>
      </rPr>
      <t>inr</t>
    </r>
  </si>
  <si>
    <r>
      <t>PDO p</t>
    </r>
    <r>
      <rPr>
        <b/>
        <vertAlign val="subscript"/>
        <sz val="10"/>
        <rFont val="Arial"/>
        <family val="2"/>
      </rPr>
      <t>pnr</t>
    </r>
  </si>
  <si>
    <r>
      <t>p</t>
    </r>
    <r>
      <rPr>
        <b/>
        <vertAlign val="subscript"/>
        <sz val="10"/>
        <rFont val="Arial"/>
        <family val="2"/>
      </rPr>
      <t>nr</t>
    </r>
  </si>
  <si>
    <t>Proportion of total nighttime crashes by severity level</t>
  </si>
  <si>
    <t>Proportion of crashes that occur at night</t>
  </si>
  <si>
    <t>HSM Default Values</t>
  </si>
  <si>
    <t>Locally Derived Values</t>
  </si>
  <si>
    <t>Roadway Type</t>
  </si>
  <si>
    <t>Note: The values for composite shoulders in this exhibit represent a shoulder for which 50 percent of the shoulder width is paved and 50 percent of the shoulder width is turf.</t>
  </si>
  <si>
    <t>Local</t>
  </si>
  <si>
    <t>Yes</t>
  </si>
  <si>
    <t>No</t>
  </si>
  <si>
    <t>Locally-Derived Values?</t>
  </si>
  <si>
    <t>Worksheet 2A -- General Information and Input Data for Rural Two-Lane Two-Way Roadway Intersections</t>
  </si>
  <si>
    <t>Intersection</t>
  </si>
  <si>
    <t>Intersection type (3ST, 4ST, 4SG)</t>
  </si>
  <si>
    <r>
      <t>AADT</t>
    </r>
    <r>
      <rPr>
        <vertAlign val="subscript"/>
        <sz val="10"/>
        <rFont val="Arial"/>
        <family val="2"/>
      </rPr>
      <t>major</t>
    </r>
    <r>
      <rPr>
        <sz val="10"/>
        <rFont val="Arial"/>
        <family val="2"/>
      </rPr>
      <t xml:space="preserve"> (veh/day)</t>
    </r>
  </si>
  <si>
    <r>
      <t>AADT</t>
    </r>
    <r>
      <rPr>
        <vertAlign val="subscript"/>
        <sz val="10"/>
        <rFont val="Arial"/>
        <family val="2"/>
      </rPr>
      <t>minor</t>
    </r>
    <r>
      <rPr>
        <sz val="10"/>
        <rFont val="Arial"/>
        <family val="2"/>
      </rPr>
      <t xml:space="preserve"> (veh/day)</t>
    </r>
  </si>
  <si>
    <t>Intersection skew angle (degrees)</t>
  </si>
  <si>
    <t>Number of signalized or uncontrolled approaches with a left-turn lane (0, 1, 2, 3, 4)</t>
  </si>
  <si>
    <t>Number of signalized or uncontrolled approaches with a right-turn lane (0, 1, 2, 3, 4)</t>
  </si>
  <si>
    <t>Intersection lighting (present/not present)</t>
  </si>
  <si>
    <r>
      <t>Calibration Factor, C</t>
    </r>
    <r>
      <rPr>
        <vertAlign val="subscript"/>
        <sz val="10"/>
        <rFont val="Arial"/>
        <family val="2"/>
      </rPr>
      <t>i</t>
    </r>
  </si>
  <si>
    <t>Itype</t>
  </si>
  <si>
    <t>3ST</t>
  </si>
  <si>
    <t>4ST</t>
  </si>
  <si>
    <t>4SG</t>
  </si>
  <si>
    <t>Lapproach</t>
  </si>
  <si>
    <t>Rapproach</t>
  </si>
  <si>
    <t>Ilight</t>
  </si>
  <si>
    <t>Worksheet 2B -- Crash Modification Factors for Rural Two-Lane Two-Way Roadway Intersections</t>
  </si>
  <si>
    <t>CMF for Intersection Skew Angle</t>
  </si>
  <si>
    <t>from Equations 10-22 or 10-23</t>
  </si>
  <si>
    <t>CMF for Left-Turn Lanes</t>
  </si>
  <si>
    <t>CMF for Right-Turn Lanes</t>
  </si>
  <si>
    <t>Combined CMF</t>
  </si>
  <si>
    <t>(1)*(2)*(3)*(4)</t>
  </si>
  <si>
    <t>Worksheet 2C -- Intersection Crashes for Rural Two-Lane Two-Way Roadway Intersections</t>
  </si>
  <si>
    <r>
      <t xml:space="preserve">N </t>
    </r>
    <r>
      <rPr>
        <vertAlign val="subscript"/>
        <sz val="10"/>
        <rFont val="Arial"/>
        <family val="2"/>
      </rPr>
      <t>spf 3ST, 4ST or 4SG</t>
    </r>
  </si>
  <si>
    <r>
      <t>N</t>
    </r>
    <r>
      <rPr>
        <vertAlign val="subscript"/>
        <sz val="10"/>
        <rFont val="Arial"/>
        <family val="2"/>
      </rPr>
      <t xml:space="preserve"> spf 3ST, 4ST or 4SG</t>
    </r>
    <r>
      <rPr>
        <sz val="10"/>
        <rFont val="Arial"/>
        <family val="2"/>
      </rPr>
      <t xml:space="preserve"> by Severity Distribution</t>
    </r>
  </si>
  <si>
    <t>from Equations 10-8, 10-9, or 10-10</t>
  </si>
  <si>
    <t>from Section 10.6.2</t>
  </si>
  <si>
    <r>
      <t>(2)</t>
    </r>
    <r>
      <rPr>
        <vertAlign val="subscript"/>
        <sz val="10"/>
        <rFont val="Arial"/>
        <family val="2"/>
      </rPr>
      <t>TOTAL</t>
    </r>
    <r>
      <rPr>
        <sz val="10"/>
        <rFont val="Arial"/>
        <family val="2"/>
      </rPr>
      <t xml:space="preserve"> * (4)</t>
    </r>
  </si>
  <si>
    <t>(5)*(6)*(7)</t>
  </si>
  <si>
    <t>Worksheet 2D -- Crashes by Severity Level and Collision Type for Rural Two-Lane Two-Way Road Intersections</t>
  </si>
  <si>
    <t>Worksheet 2E -- Summary Results for Rural Two-Lane Two-Way Road Intersections</t>
  </si>
  <si>
    <t>(4) from Worksheet 2C</t>
  </si>
  <si>
    <t>[If 4ST, does skew differ for minor legs?]</t>
  </si>
  <si>
    <t>Differ</t>
  </si>
  <si>
    <t>Skew for Leg 1 (All):</t>
  </si>
  <si>
    <t>Skew for Leg 2 (4ST only):</t>
  </si>
  <si>
    <r>
      <t>Number of approaches with left-turn lanes</t>
    </r>
    <r>
      <rPr>
        <b/>
        <vertAlign val="superscript"/>
        <sz val="10"/>
        <rFont val="Arial"/>
        <family val="2"/>
      </rPr>
      <t xml:space="preserve"> a</t>
    </r>
  </si>
  <si>
    <t>Intersection type</t>
  </si>
  <si>
    <t>Intersection traffic control</t>
  </si>
  <si>
    <t>Three-leg intersection</t>
  </si>
  <si>
    <t>Traffic signal</t>
  </si>
  <si>
    <r>
      <rPr>
        <vertAlign val="superscript"/>
        <sz val="8"/>
        <rFont val="Arial"/>
        <family val="2"/>
      </rPr>
      <t>a</t>
    </r>
    <r>
      <rPr>
        <sz val="8"/>
        <rFont val="Arial"/>
        <family val="2"/>
      </rPr>
      <t xml:space="preserve"> Stop-controlled approaches are not considered in determing the number of approaches with left-turn lanes</t>
    </r>
  </si>
  <si>
    <t>Note:</t>
  </si>
  <si>
    <r>
      <rPr>
        <vertAlign val="superscript"/>
        <sz val="8"/>
        <rFont val="Arial"/>
        <family val="2"/>
      </rPr>
      <t>b</t>
    </r>
    <r>
      <rPr>
        <sz val="8"/>
        <rFont val="Arial"/>
        <family val="2"/>
      </rPr>
      <t xml:space="preserve"> Stop signs present on minor road approaches only.</t>
    </r>
  </si>
  <si>
    <r>
      <rPr>
        <vertAlign val="superscript"/>
        <sz val="8"/>
        <rFont val="Arial"/>
        <family val="2"/>
      </rPr>
      <t>a</t>
    </r>
    <r>
      <rPr>
        <sz val="8"/>
        <rFont val="Arial"/>
        <family val="2"/>
      </rPr>
      <t xml:space="preserve"> Stop-controlled approaches are not considered in determing the number of approaches with right-turn lanes</t>
    </r>
  </si>
  <si>
    <t>Intersection Type</t>
  </si>
  <si>
    <t>HSM Provided Values</t>
  </si>
  <si>
    <r>
      <t>Proportion of crashes that occur at night, p</t>
    </r>
    <r>
      <rPr>
        <b/>
        <vertAlign val="subscript"/>
        <sz val="10"/>
        <rFont val="Arial"/>
        <family val="2"/>
      </rPr>
      <t>ni</t>
    </r>
  </si>
  <si>
    <r>
      <t xml:space="preserve">Predicted average crash frequency,   N </t>
    </r>
    <r>
      <rPr>
        <vertAlign val="subscript"/>
        <sz val="10"/>
        <rFont val="Arial"/>
        <family val="2"/>
      </rPr>
      <t>predicted int</t>
    </r>
  </si>
  <si>
    <r>
      <t>(8)</t>
    </r>
    <r>
      <rPr>
        <sz val="6"/>
        <rFont val="Arial"/>
        <family val="2"/>
      </rPr>
      <t>TOTAL</t>
    </r>
    <r>
      <rPr>
        <sz val="10"/>
        <rFont val="Arial"/>
        <family val="2"/>
      </rPr>
      <t xml:space="preserve"> from Worksheet 2C</t>
    </r>
  </si>
  <si>
    <r>
      <t>(8)</t>
    </r>
    <r>
      <rPr>
        <sz val="6"/>
        <rFont val="Arial"/>
        <family val="2"/>
      </rPr>
      <t>FI</t>
    </r>
    <r>
      <rPr>
        <sz val="10"/>
        <rFont val="Arial"/>
        <family val="2"/>
      </rPr>
      <t xml:space="preserve"> from Worksheet 2C</t>
    </r>
  </si>
  <si>
    <r>
      <t>(8)</t>
    </r>
    <r>
      <rPr>
        <sz val="6"/>
        <rFont val="Arial"/>
        <family val="2"/>
      </rPr>
      <t>PDO</t>
    </r>
    <r>
      <rPr>
        <sz val="10"/>
        <rFont val="Arial"/>
        <family val="2"/>
      </rPr>
      <t xml:space="preserve"> from Worksheet 2C</t>
    </r>
  </si>
  <si>
    <r>
      <t xml:space="preserve">N </t>
    </r>
    <r>
      <rPr>
        <b/>
        <i/>
        <sz val="6"/>
        <rFont val="Arial"/>
        <family val="2"/>
      </rPr>
      <t>predicted int</t>
    </r>
    <r>
      <rPr>
        <b/>
        <sz val="6"/>
        <rFont val="Arial"/>
        <family val="2"/>
      </rPr>
      <t xml:space="preserve"> (TOTAL)</t>
    </r>
    <r>
      <rPr>
        <b/>
        <sz val="10"/>
        <rFont val="Arial"/>
        <family val="2"/>
      </rPr>
      <t xml:space="preserve"> (crashes/year)</t>
    </r>
  </si>
  <si>
    <r>
      <t xml:space="preserve">N </t>
    </r>
    <r>
      <rPr>
        <b/>
        <i/>
        <sz val="6"/>
        <rFont val="Arial"/>
        <family val="2"/>
      </rPr>
      <t>predicted int</t>
    </r>
    <r>
      <rPr>
        <b/>
        <sz val="6"/>
        <rFont val="Arial"/>
        <family val="2"/>
      </rPr>
      <t xml:space="preserve"> (FI)</t>
    </r>
    <r>
      <rPr>
        <b/>
        <sz val="10"/>
        <rFont val="Arial"/>
        <family val="2"/>
      </rPr>
      <t xml:space="preserve"> (crashes/year)</t>
    </r>
  </si>
  <si>
    <r>
      <t xml:space="preserve">N </t>
    </r>
    <r>
      <rPr>
        <b/>
        <i/>
        <sz val="6"/>
        <rFont val="Arial"/>
        <family val="2"/>
      </rPr>
      <t>predicted int</t>
    </r>
    <r>
      <rPr>
        <b/>
        <sz val="6"/>
        <rFont val="Arial"/>
        <family val="2"/>
      </rPr>
      <t xml:space="preserve"> (PDO)</t>
    </r>
    <r>
      <rPr>
        <b/>
        <sz val="10"/>
        <rFont val="Arial"/>
        <family val="2"/>
      </rPr>
      <t xml:space="preserve"> (crashes/year)</t>
    </r>
  </si>
  <si>
    <t>Predicted average crash frequency (crashes / year)</t>
  </si>
  <si>
    <t>(8) from Worksheet 2C</t>
  </si>
  <si>
    <t>Mwidth</t>
  </si>
  <si>
    <t>Divided</t>
  </si>
  <si>
    <t>Undivided</t>
  </si>
  <si>
    <t>Division</t>
  </si>
  <si>
    <t>Sslope</t>
  </si>
  <si>
    <t>1:2 or Steeper</t>
  </si>
  <si>
    <t>1:4</t>
  </si>
  <si>
    <t>1:5</t>
  </si>
  <si>
    <t>1:6</t>
  </si>
  <si>
    <t>1:7 or Flatter</t>
  </si>
  <si>
    <t>Shld2</t>
  </si>
  <si>
    <t>Iapproach</t>
  </si>
  <si>
    <t>Overview</t>
  </si>
  <si>
    <t>Color Coding in the Worksheets</t>
  </si>
  <si>
    <t>Color Used</t>
  </si>
  <si>
    <t>Type of Information Required from User</t>
  </si>
  <si>
    <t>The current contents of this spreadsheet include the following:</t>
  </si>
  <si>
    <t>Worksheet Name</t>
  </si>
  <si>
    <t>Contents</t>
  </si>
  <si>
    <t>Instructions</t>
  </si>
  <si>
    <t>Worksheet 3A -- Predicted and Observed Crashes by Severity and Site Type Using the Site-Specific EB Method</t>
  </si>
  <si>
    <t>Site type</t>
  </si>
  <si>
    <r>
      <t>Observed crashes,</t>
    </r>
    <r>
      <rPr>
        <sz val="10"/>
        <rFont val="Arial"/>
        <family val="2"/>
      </rPr>
      <t xml:space="preserve">   N</t>
    </r>
    <r>
      <rPr>
        <vertAlign val="subscript"/>
        <sz val="10"/>
        <rFont val="Arial"/>
        <family val="2"/>
      </rPr>
      <t>observed</t>
    </r>
    <r>
      <rPr>
        <sz val="10"/>
        <rFont val="Arial"/>
        <family val="2"/>
      </rPr>
      <t xml:space="preserve"> (crashes/year)</t>
    </r>
  </si>
  <si>
    <t>Weighted adjustment, w</t>
  </si>
  <si>
    <r>
      <t>Expected average crash frequency, N</t>
    </r>
    <r>
      <rPr>
        <b/>
        <vertAlign val="subscript"/>
        <sz val="10"/>
        <rFont val="Arial"/>
        <family val="2"/>
      </rPr>
      <t>expected</t>
    </r>
  </si>
  <si>
    <r>
      <t>N</t>
    </r>
    <r>
      <rPr>
        <vertAlign val="subscript"/>
        <sz val="10"/>
        <rFont val="Arial"/>
        <family val="2"/>
      </rPr>
      <t xml:space="preserve"> predicted</t>
    </r>
    <r>
      <rPr>
        <sz val="10"/>
        <rFont val="Arial"/>
      </rPr>
      <t xml:space="preserve"> (TOTAL)</t>
    </r>
  </si>
  <si>
    <r>
      <t xml:space="preserve"> N</t>
    </r>
    <r>
      <rPr>
        <vertAlign val="subscript"/>
        <sz val="10"/>
        <rFont val="Arial"/>
        <family val="2"/>
      </rPr>
      <t xml:space="preserve"> predicted    </t>
    </r>
    <r>
      <rPr>
        <sz val="10"/>
        <rFont val="Arial"/>
      </rPr>
      <t xml:space="preserve">  (FI)</t>
    </r>
  </si>
  <si>
    <r>
      <t xml:space="preserve"> N</t>
    </r>
    <r>
      <rPr>
        <vertAlign val="subscript"/>
        <sz val="10"/>
        <rFont val="Arial"/>
        <family val="2"/>
      </rPr>
      <t xml:space="preserve"> predicted</t>
    </r>
    <r>
      <rPr>
        <sz val="10"/>
        <rFont val="Arial"/>
      </rPr>
      <t xml:space="preserve">    (PDO)</t>
    </r>
  </si>
  <si>
    <t>Equation A-5 from Part C Appendix</t>
  </si>
  <si>
    <t>Equation   A-4 from Part C Appendix</t>
  </si>
  <si>
    <t>ROADWAY SEGMENTS</t>
  </si>
  <si>
    <t>INTERSECTIONS</t>
  </si>
  <si>
    <t>COMBINED (sum of column)</t>
  </si>
  <si>
    <t>Worksheet 3B -- Site-Specific EB Method Summary Results</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</si>
  <si>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</si>
  <si>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</si>
  <si>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</si>
  <si>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r>
      <t>(8)</t>
    </r>
    <r>
      <rPr>
        <vertAlign val="subscript"/>
        <sz val="10"/>
        <rFont val="Arial"/>
        <family val="2"/>
      </rPr>
      <t>COMB</t>
    </r>
    <r>
      <rPr>
        <sz val="10"/>
        <rFont val="Arial"/>
        <family val="2"/>
      </rPr>
      <t xml:space="preserve"> from Worksheet 3A</t>
    </r>
  </si>
  <si>
    <t>Fatal and injury (FI)</t>
  </si>
  <si>
    <r>
      <t>(3)</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</si>
  <si>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</si>
  <si>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t>Property damage only (PDO)</t>
  </si>
  <si>
    <r>
      <t>(4)</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</si>
  <si>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</si>
  <si>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t>Worksheet 4A -- Predicted and Observed Crashes by Severity and Site Type Using the Project-Level EB Method</t>
  </si>
  <si>
    <r>
      <t>N</t>
    </r>
    <r>
      <rPr>
        <b/>
        <vertAlign val="subscript"/>
        <sz val="10"/>
        <rFont val="Arial"/>
        <family val="2"/>
      </rPr>
      <t>w0</t>
    </r>
  </si>
  <si>
    <r>
      <t>N</t>
    </r>
    <r>
      <rPr>
        <b/>
        <vertAlign val="subscript"/>
        <sz val="10"/>
        <rFont val="Arial"/>
        <family val="2"/>
      </rPr>
      <t>w1</t>
    </r>
  </si>
  <si>
    <r>
      <t>W</t>
    </r>
    <r>
      <rPr>
        <b/>
        <vertAlign val="subscript"/>
        <sz val="10"/>
        <rFont val="Arial"/>
        <family val="2"/>
      </rPr>
      <t>0</t>
    </r>
  </si>
  <si>
    <r>
      <t>N</t>
    </r>
    <r>
      <rPr>
        <b/>
        <vertAlign val="subscript"/>
        <sz val="10"/>
        <rFont val="Arial"/>
        <family val="2"/>
      </rPr>
      <t>0</t>
    </r>
  </si>
  <si>
    <r>
      <t>w</t>
    </r>
    <r>
      <rPr>
        <b/>
        <vertAlign val="subscript"/>
        <sz val="10"/>
        <rFont val="Arial"/>
        <family val="2"/>
      </rPr>
      <t>1</t>
    </r>
  </si>
  <si>
    <r>
      <t>N</t>
    </r>
    <r>
      <rPr>
        <b/>
        <vertAlign val="subscript"/>
        <sz val="10"/>
        <rFont val="Arial"/>
        <family val="2"/>
      </rPr>
      <t>1</t>
    </r>
  </si>
  <si>
    <r>
      <t>N</t>
    </r>
    <r>
      <rPr>
        <b/>
        <vertAlign val="subscript"/>
        <sz val="10"/>
        <rFont val="Arial"/>
        <family val="2"/>
      </rPr>
      <t>p/comb</t>
    </r>
  </si>
  <si>
    <r>
      <t xml:space="preserve"> N</t>
    </r>
    <r>
      <rPr>
        <vertAlign val="subscript"/>
        <sz val="10"/>
        <rFont val="Arial"/>
        <family val="2"/>
      </rPr>
      <t xml:space="preserve"> predicted</t>
    </r>
    <r>
      <rPr>
        <sz val="10"/>
        <rFont val="Arial"/>
      </rPr>
      <t xml:space="preserve">    (FI)</t>
    </r>
  </si>
  <si>
    <r>
      <t>Equation A-8  (6)*(2)</t>
    </r>
    <r>
      <rPr>
        <vertAlign val="superscript"/>
        <sz val="10"/>
        <rFont val="Arial"/>
        <family val="2"/>
      </rPr>
      <t>2</t>
    </r>
  </si>
  <si>
    <t>Equation A-9  sqrt((6)*(2))</t>
  </si>
  <si>
    <t>Equation   A-10</t>
  </si>
  <si>
    <t>Equation   A-11</t>
  </si>
  <si>
    <t>Equation   A-12</t>
  </si>
  <si>
    <t>Equation   A-13</t>
  </si>
  <si>
    <t>Equation   A-14</t>
  </si>
  <si>
    <t>Worksheet 4B -- Project-Level EB Method Summary Results</t>
  </si>
  <si>
    <r>
      <t>(2)</t>
    </r>
    <r>
      <rPr>
        <vertAlign val="subscript"/>
        <sz val="10"/>
        <rFont val="Arial"/>
        <family val="2"/>
      </rPr>
      <t>COMB</t>
    </r>
    <r>
      <rPr>
        <sz val="10"/>
        <rFont val="Arial"/>
        <family val="2"/>
      </rPr>
      <t xml:space="preserve"> from Worksheet 4A</t>
    </r>
  </si>
  <si>
    <r>
      <t>(13)</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</si>
  <si>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</si>
  <si>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</si>
  <si>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t>Tables Affiliated with Crash Statistics:</t>
  </si>
  <si>
    <t>Tables Affiliated with Crash Modification Factors:</t>
  </si>
  <si>
    <t>Supplemental CMF Calculations for Shoulders:</t>
  </si>
  <si>
    <t>Supplemental CMF Calculations for Horizontal Curves:</t>
  </si>
  <si>
    <t>Adjusted Curve Length (if less than 100 ft):</t>
  </si>
  <si>
    <t>Adjusted Curve Radius (if less than 100 ft):</t>
  </si>
  <si>
    <t>One End Only</t>
  </si>
  <si>
    <t>Numeric Value for S:</t>
  </si>
  <si>
    <t>Calculated Horizonatal Curve CMF:</t>
  </si>
  <si>
    <t>Adjusted Horizontal Curve CMF:</t>
  </si>
  <si>
    <t>Predicted average crash frequency,      N predicted rs (crashes/year)</t>
  </si>
  <si>
    <r>
      <t>CMF</t>
    </r>
    <r>
      <rPr>
        <vertAlign val="subscript"/>
        <sz val="10"/>
        <rFont val="Arial"/>
        <family val="2"/>
      </rPr>
      <t xml:space="preserve"> 1i</t>
    </r>
  </si>
  <si>
    <r>
      <t>CMF</t>
    </r>
    <r>
      <rPr>
        <vertAlign val="subscript"/>
        <sz val="10"/>
        <rFont val="Arial"/>
        <family val="2"/>
      </rPr>
      <t xml:space="preserve"> 2i</t>
    </r>
  </si>
  <si>
    <r>
      <t>CMF</t>
    </r>
    <r>
      <rPr>
        <vertAlign val="subscript"/>
        <sz val="10"/>
        <rFont val="Arial"/>
        <family val="2"/>
      </rPr>
      <t xml:space="preserve"> 3i</t>
    </r>
  </si>
  <si>
    <r>
      <t>CMF</t>
    </r>
    <r>
      <rPr>
        <vertAlign val="subscript"/>
        <sz val="10"/>
        <rFont val="Arial"/>
        <family val="2"/>
      </rPr>
      <t xml:space="preserve"> 4i</t>
    </r>
  </si>
  <si>
    <r>
      <t>CMF</t>
    </r>
    <r>
      <rPr>
        <vertAlign val="subscript"/>
        <sz val="10"/>
        <rFont val="Arial"/>
        <family val="2"/>
      </rPr>
      <t xml:space="preserve"> COMB</t>
    </r>
  </si>
  <si>
    <t>from (5) of Worksheet 2B</t>
  </si>
  <si>
    <t>COMBINED</t>
  </si>
  <si>
    <t>Table 10-3: Distribution for Crash Severity Level on Rural Two-Lane Two-Way Roadway Segments plus Locally-Derived Values</t>
  </si>
  <si>
    <t>Table 10-4: Default Distribution by Collision Type for Specific Crash Severity Levels on Rural Two-Lane Two-Way Roadway Segments plus Locally-Derived Values</t>
  </si>
  <si>
    <t>Note:  HSM-provided values based on crash data for Washington (2002-2006); includes approximately 70 percent opposite-direction sideswipe and 30 percent same-direction sideswipe collisions.</t>
  </si>
  <si>
    <t>Note: HSM-provided crash severity data based on HSIS data for Washington (2002-2006)</t>
  </si>
  <si>
    <t>Table 10-5: Default Distribution for Crash Severity Level at Rural Two-Lane Two-Way Intersections plus Locally-Derived Values</t>
  </si>
  <si>
    <t>Table 10-6: Default Distribution for Collision Type and Manner of Collision at Rural Two-Way Intersections plus Locally-Derived Values</t>
  </si>
  <si>
    <t>Note:  HSM-Provided values based on HSIS data for California (2002-2006)</t>
  </si>
  <si>
    <r>
      <t>Table 10-8: CMF for Lane Width on Roadway Segments (CMF</t>
    </r>
    <r>
      <rPr>
        <b/>
        <vertAlign val="subscript"/>
        <sz val="10"/>
        <rFont val="Arial"/>
        <family val="2"/>
      </rPr>
      <t>ra</t>
    </r>
    <r>
      <rPr>
        <b/>
        <sz val="10"/>
        <rFont val="Arial"/>
        <family val="2"/>
      </rPr>
      <t>)</t>
    </r>
  </si>
  <si>
    <r>
      <t>Table 10-9: CMF for Shoulder Width on Roadway Segments (CMF</t>
    </r>
    <r>
      <rPr>
        <b/>
        <vertAlign val="subscript"/>
        <sz val="10"/>
        <rFont val="Arial"/>
        <family val="2"/>
      </rPr>
      <t>wra</t>
    </r>
    <r>
      <rPr>
        <b/>
        <sz val="10"/>
        <rFont val="Arial"/>
        <family val="2"/>
      </rPr>
      <t>)</t>
    </r>
  </si>
  <si>
    <r>
      <t>Table 10-10: Crash Modification Factors for Shoulder Types and Shoulder Widths on Roadway Segments (CMF</t>
    </r>
    <r>
      <rPr>
        <b/>
        <vertAlign val="subscript"/>
        <sz val="10"/>
        <rFont val="Arial"/>
        <family val="2"/>
      </rPr>
      <t>tra</t>
    </r>
    <r>
      <rPr>
        <b/>
        <sz val="10"/>
        <rFont val="Arial"/>
        <family val="2"/>
      </rPr>
      <t>)</t>
    </r>
  </si>
  <si>
    <t>from Table 10-11</t>
  </si>
  <si>
    <t>from Equation 10-18 &amp; 10-19</t>
  </si>
  <si>
    <t>Note:  HSM-provided values based on HSIS data for Washington (2002-2006)</t>
  </si>
  <si>
    <t>Table 10-12: Nighttime Crash Proportions for Unlighted Roadway Segments plus Locally-Derived Values</t>
  </si>
  <si>
    <t>from  Equation 10-6</t>
  </si>
  <si>
    <t>from Table 10-3 (proportion)</t>
  </si>
  <si>
    <t>from Table 10-4</t>
  </si>
  <si>
    <t xml:space="preserve">  from Table   10-4</t>
  </si>
  <si>
    <t>Crash Severity Distribution (proportion)</t>
  </si>
  <si>
    <t xml:space="preserve">  from Table  10-5</t>
  </si>
  <si>
    <t xml:space="preserve">    from Table  10-6</t>
  </si>
  <si>
    <t>from Table 10-6</t>
  </si>
  <si>
    <r>
      <t xml:space="preserve">Crash Severity Distribution </t>
    </r>
    <r>
      <rPr>
        <sz val="10"/>
        <rFont val="Arial"/>
        <family val="2"/>
      </rPr>
      <t>(proportion)</t>
    </r>
  </si>
  <si>
    <r>
      <t>Table 10-13: CMF for Installation of Left-Turn Lanes on Intersection Approaches (CMF</t>
    </r>
    <r>
      <rPr>
        <b/>
        <vertAlign val="subscript"/>
        <sz val="10"/>
        <rFont val="Arial"/>
        <family val="2"/>
      </rPr>
      <t>2i</t>
    </r>
    <r>
      <rPr>
        <b/>
        <sz val="10"/>
        <rFont val="Arial"/>
        <family val="2"/>
      </rPr>
      <t>)</t>
    </r>
  </si>
  <si>
    <r>
      <t xml:space="preserve">Minor road stop control </t>
    </r>
    <r>
      <rPr>
        <vertAlign val="superscript"/>
        <sz val="10"/>
        <rFont val="Arial"/>
        <family val="2"/>
      </rPr>
      <t>b</t>
    </r>
  </si>
  <si>
    <t>Four-leg intersection</t>
  </si>
  <si>
    <r>
      <t>Table 10-14: CMF for Installation of Right-Turn Lanes on Intersection Approaches (CMF</t>
    </r>
    <r>
      <rPr>
        <b/>
        <vertAlign val="subscript"/>
        <sz val="10"/>
        <rFont val="Arial"/>
        <family val="2"/>
      </rPr>
      <t>3i</t>
    </r>
    <r>
      <rPr>
        <b/>
        <sz val="10"/>
        <rFont val="Arial"/>
        <family val="2"/>
      </rPr>
      <t>)</t>
    </r>
  </si>
  <si>
    <t>Table 10-15: Nighttime Crash Proportions for Unlighted Intersections</t>
  </si>
  <si>
    <t>from Table 10-13</t>
  </si>
  <si>
    <t>from Table 10-14</t>
  </si>
  <si>
    <t>from Equation 10-24</t>
  </si>
  <si>
    <t>Highway Safety Manual 1st Edition, Volume 2, Chapter 10 -- Predictive Method for Rural Two-Lane, Two-Way Roads -- Analysis Spreadsheet Summary</t>
  </si>
  <si>
    <t>Locally-Derived Values (Oregon)</t>
  </si>
  <si>
    <r>
      <t>AADT</t>
    </r>
    <r>
      <rPr>
        <vertAlign val="subscript"/>
        <sz val="10"/>
        <rFont val="Arial"/>
        <family val="2"/>
      </rPr>
      <t>MAX</t>
    </r>
    <r>
      <rPr>
        <sz val="10"/>
        <rFont val="Arial"/>
      </rPr>
      <t xml:space="preserve"> =</t>
    </r>
  </si>
  <si>
    <t>(veh/day)</t>
  </si>
  <si>
    <t>Right Shld:</t>
  </si>
  <si>
    <r>
      <t>Calculated Right Shoulder Width (CMF</t>
    </r>
    <r>
      <rPr>
        <vertAlign val="subscript"/>
        <sz val="10"/>
        <rFont val="Arial"/>
        <family val="2"/>
      </rPr>
      <t>wra</t>
    </r>
    <r>
      <rPr>
        <sz val="10"/>
        <rFont val="Arial"/>
        <family val="2"/>
      </rPr>
      <t>) :</t>
    </r>
  </si>
  <si>
    <r>
      <t>Calculated Left Shoulder Width (CMF</t>
    </r>
    <r>
      <rPr>
        <vertAlign val="subscript"/>
        <sz val="10"/>
        <rFont val="Arial"/>
        <family val="2"/>
      </rPr>
      <t>wra</t>
    </r>
    <r>
      <rPr>
        <sz val="10"/>
        <rFont val="Arial"/>
        <family val="2"/>
      </rPr>
      <t>) :</t>
    </r>
  </si>
  <si>
    <r>
      <t>Calculated Right Shoulder Type (CMF</t>
    </r>
    <r>
      <rPr>
        <vertAlign val="subscript"/>
        <sz val="10"/>
        <rFont val="Arial"/>
        <family val="2"/>
      </rPr>
      <t xml:space="preserve"> tra</t>
    </r>
    <r>
      <rPr>
        <sz val="10"/>
        <rFont val="Arial"/>
        <family val="2"/>
      </rPr>
      <t>) :</t>
    </r>
  </si>
  <si>
    <r>
      <t>Calculated Left Shoulder Type (CMF</t>
    </r>
    <r>
      <rPr>
        <vertAlign val="subscript"/>
        <sz val="10"/>
        <rFont val="Arial"/>
        <family val="2"/>
      </rPr>
      <t xml:space="preserve"> tra</t>
    </r>
    <r>
      <rPr>
        <sz val="10"/>
        <rFont val="Arial"/>
        <family val="2"/>
      </rPr>
      <t>) :</t>
    </r>
  </si>
  <si>
    <r>
      <t>Computed Right Shoulder CMF</t>
    </r>
    <r>
      <rPr>
        <vertAlign val="subscript"/>
        <sz val="10"/>
        <rFont val="Arial"/>
        <family val="2"/>
      </rPr>
      <t xml:space="preserve">2r </t>
    </r>
    <r>
      <rPr>
        <sz val="10"/>
        <rFont val="Arial"/>
        <family val="2"/>
      </rPr>
      <t>:</t>
    </r>
  </si>
  <si>
    <r>
      <t>Computed Left Shoulder CMF</t>
    </r>
    <r>
      <rPr>
        <vertAlign val="subscript"/>
        <sz val="10"/>
        <rFont val="Arial"/>
        <family val="2"/>
      </rPr>
      <t xml:space="preserve">2r </t>
    </r>
    <r>
      <rPr>
        <sz val="10"/>
        <rFont val="Arial"/>
        <family val="2"/>
      </rPr>
      <t>:</t>
    </r>
  </si>
  <si>
    <t>Left Shld:</t>
  </si>
  <si>
    <t>Spreadsheet developed by:</t>
  </si>
  <si>
    <t>Karen Dixon, Ph.D., P.E.</t>
  </si>
  <si>
    <t>Skew Intersection:</t>
  </si>
  <si>
    <t>Texas A&amp;M Transportation Institute</t>
  </si>
  <si>
    <t>3135 TAMU</t>
  </si>
  <si>
    <t>College Station, TX  77843-3135</t>
  </si>
  <si>
    <t>Email:  k-dixon@tamu.edu</t>
  </si>
  <si>
    <t>Phone:  979-845-9906</t>
  </si>
  <si>
    <t>Segment Totals:</t>
  </si>
  <si>
    <t>Intersection Totals:</t>
  </si>
  <si>
    <t>Spreadsheet modification tracking</t>
  </si>
  <si>
    <t>Date</t>
  </si>
  <si>
    <t>Modified by</t>
  </si>
  <si>
    <t>Description</t>
  </si>
  <si>
    <t>August, 2015</t>
  </si>
  <si>
    <t>Last modified:</t>
  </si>
  <si>
    <t>Karen Dixon (k-dixon@tamu.edu)</t>
  </si>
  <si>
    <t>July, 2019</t>
  </si>
  <si>
    <t>Tariq Shihadah (tariq.shihadah@jacobs.com)</t>
  </si>
  <si>
    <t>Updates per errata, other</t>
  </si>
  <si>
    <t>Segment_1</t>
  </si>
  <si>
    <t>Segment_2</t>
  </si>
  <si>
    <t>Segment_3</t>
  </si>
  <si>
    <t>Segment_4</t>
  </si>
  <si>
    <t>Segment_5</t>
  </si>
  <si>
    <t>Segment_6</t>
  </si>
  <si>
    <t>Segment_7</t>
  </si>
  <si>
    <t>Segment_8</t>
  </si>
  <si>
    <t>Intersection_1</t>
  </si>
  <si>
    <t>Intersection_2</t>
  </si>
  <si>
    <t>Intersection_3</t>
  </si>
  <si>
    <t>Intersection_4</t>
  </si>
  <si>
    <t>Intersection_5</t>
  </si>
  <si>
    <t>Intersection_6</t>
  </si>
  <si>
    <t>Intersection_7</t>
  </si>
  <si>
    <t>Intersection_8</t>
  </si>
  <si>
    <t>(enter name)</t>
  </si>
  <si>
    <t>(enter agency)</t>
  </si>
  <si>
    <t>(enter date)</t>
  </si>
  <si>
    <t>(enter roadway name)</t>
  </si>
  <si>
    <t>(enter roadway section)</t>
  </si>
  <si>
    <t>(enter jurisdiction)</t>
  </si>
  <si>
    <t>(enter intersection name)</t>
  </si>
  <si>
    <t>Reference Tables (Segment)</t>
  </si>
  <si>
    <t>This spreadsheet has been developed to demonstrate the predictive models for rural two-lane highways as contained in the new Highway Safety Manual. The content was developed for training purposes and all users should verify that the answers they obtain with these worksheets correctly represent their target analysis.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</si>
  <si>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</si>
  <si>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</si>
  <si>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Input data required from the user but  restricted to options provided in pull-down boxes.</t>
  </si>
  <si>
    <t>Required input information as identified in the HSM.</t>
  </si>
  <si>
    <t>Current worksheet displaying overview, summary of spreadsheet worksheets, and description of color coding included in the worksheets.</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</si>
  <si>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</si>
  <si>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Reference Tables (Intersection)</t>
  </si>
  <si>
    <t>The page tabs shown at the bottom of this file represent the various analyses that can be performed using this spreadsheet tool and the HSM predictive methods. To conduct an analysis, the user should complete one worksheet per segment or intersection location using segment worksheets 1-8 and/or intersection worksheets 1-8. Results of the analysis are compiled in the summary worksheets where observed crash data can be input to perform the Empirical Bayes method.</t>
  </si>
  <si>
    <t>Segment_1-8</t>
  </si>
  <si>
    <t>Intersection_1-8</t>
  </si>
  <si>
    <t>Summary Tables (Site Totals)</t>
  </si>
  <si>
    <t>Summary Tables (Project Total)</t>
  </si>
  <si>
    <t>Analysis for rural 2-lane segments that uses lookup tables from exhibits included in the worksheet "Reference Tables (Segment)." The associated HSM worksheets are 1A, 1B, 1C, 1D, and 1E.</t>
  </si>
  <si>
    <t>Analysis for rural 2-lane intersections that uses lookup tables from exhibits included in the worksheet "Reference Tables (Intersection)." The associated HSM worksheets are 2A, 2B, 2C, 2D, and 2E.</t>
  </si>
  <si>
    <t>Includes segment reference tables used for analysis of HSM-provided crash trends as well as locally-derived crash  information. These are HSM Tables 10-3, 10-4, and 10-12. This worksheet also includes tables used for CMF calculations. These tables include Table 10-8, 10-9, and 10-10.</t>
  </si>
  <si>
    <t>Includes intersection reference tables used for analysis of HSM-provided crash trends as well as locally-derived crash information. These are HSM Tables 10-5, 10-6, and 10-15. This worksheet also includes tables used for CMF calculations. These tables include Tables 10-13 and 10-14.</t>
  </si>
  <si>
    <t>Summary of results and for site-specific EB analysis using results from the segment and intersection worksheets. The EB analysis can be performed if the analyst knows the exact location of historic crashes within the study limits. The associated HSM worksheets are 3A and 3B.</t>
  </si>
  <si>
    <t>Summary of results and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and 4B.</t>
  </si>
  <si>
    <t>Construction - Do Not Delete</t>
  </si>
  <si>
    <t>Formatting, consistency, comments by HSM Steering Group; updated formulas in summary sheets for consistency, ease of use; modified instructional text for consistency between workbooks and clarity</t>
  </si>
  <si>
    <t>Email: tariq.shihadah@jacobs.com</t>
  </si>
  <si>
    <t>July, 2020 by Tariq Shihadah (Jacobs)</t>
  </si>
  <si>
    <t>July, 2020</t>
  </si>
  <si>
    <t>Fixed incorrect calculation of horizontal curve CMF in segment calculation sheet, cell U20 per HSM Equation 10-13. Error caused all instances to compute a CMF given no spiral curve transition (e.g., S=0 in Equation 10-13).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</si>
</sst>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19"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u/>
      <sz val="10"/>
      <name val="Arial"/>
      <family val="2"/>
    </font>
    <font>
      <u/>
      <sz val="10"/>
      <name val="Arial"/>
      <family val="2"/>
    </font>
    <font>
      <b/>
      <sz val="10"/>
      <color rgb="FF002060"/>
      <name val="Arial"/>
      <family val="2"/>
    </font>
    <font>
      <b/>
      <u/>
      <sz val="10"/>
      <color rgb="FF002060"/>
      <name val="Arial"/>
      <family val="2"/>
    </font>
  </fonts>
  <fills count="8">
    <fill>
      <patternFill patternType="none"/>
    </fill>
    <fill>
      <patternFill patternType="gray125"/>
    </fill>
    <fill>
      <patternFill patternType="solid">
        <fgColor rgb="FF56B4E9"/>
        <bgColor indexed="64"/>
      </patternFill>
    </fill>
    <fill>
      <patternFill patternType="solid">
        <fgColor rgb="FFF0E442"/>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s>
  <borders count="6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ck">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s>
  <cellStyleXfs count="1">
    <xf numFmtId="0" fontId="0" fillId="0" borderId="0"/>
  </cellStyleXfs>
  <cellXfs count="861">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xf numFmtId="0" fontId="3" fillId="0" borderId="3" xfId="0" applyFont="1" applyBorder="1" applyAlignment="1">
      <alignment horizontal="center" vertical="top" wrapText="1"/>
    </xf>
    <xf numFmtId="0" fontId="0" fillId="0" borderId="3" xfId="0" quotePrefix="1" applyBorder="1" applyAlignment="1">
      <alignment horizontal="center" vertical="center" wrapText="1"/>
    </xf>
    <xf numFmtId="0" fontId="0" fillId="0" borderId="3" xfId="0" applyBorder="1" applyAlignment="1">
      <alignment horizontal="center" wrapText="1"/>
    </xf>
    <xf numFmtId="164" fontId="0" fillId="0" borderId="3" xfId="0" applyNumberFormat="1" applyBorder="1" applyAlignment="1">
      <alignment horizontal="center"/>
    </xf>
    <xf numFmtId="0" fontId="0" fillId="0" borderId="0" xfId="0" applyBorder="1"/>
    <xf numFmtId="166" fontId="0" fillId="0" borderId="0" xfId="0" applyNumberFormat="1" applyAlignment="1">
      <alignment horizontal="center"/>
    </xf>
    <xf numFmtId="0" fontId="3" fillId="0" borderId="0" xfId="0" applyFont="1" applyAlignment="1">
      <alignment horizontal="center"/>
    </xf>
    <xf numFmtId="0" fontId="0" fillId="0" borderId="0" xfId="0" applyFill="1" applyBorder="1" applyAlignment="1">
      <alignment horizontal="center"/>
    </xf>
    <xf numFmtId="0" fontId="0" fillId="0" borderId="4" xfId="0" quotePrefix="1" applyBorder="1" applyAlignment="1">
      <alignment horizontal="center"/>
    </xf>
    <xf numFmtId="0" fontId="0" fillId="0" borderId="2" xfId="0" applyBorder="1" applyAlignment="1">
      <alignment horizontal="center"/>
    </xf>
    <xf numFmtId="0" fontId="6" fillId="0" borderId="0" xfId="0" applyFont="1"/>
    <xf numFmtId="49" fontId="6" fillId="0" borderId="0" xfId="0" applyNumberFormat="1" applyFont="1"/>
    <xf numFmtId="49" fontId="0" fillId="0" borderId="0" xfId="0" applyNumberFormat="1"/>
    <xf numFmtId="49" fontId="0" fillId="0" borderId="0" xfId="0" applyNumberFormat="1" applyFont="1"/>
    <xf numFmtId="0" fontId="3" fillId="0" borderId="0" xfId="0" applyFont="1"/>
    <xf numFmtId="49" fontId="3" fillId="0" borderId="0" xfId="0" applyNumberFormat="1" applyFont="1"/>
    <xf numFmtId="0" fontId="3" fillId="0" borderId="3" xfId="0" applyFont="1" applyBorder="1" applyAlignment="1">
      <alignment horizontal="center"/>
    </xf>
    <xf numFmtId="49" fontId="0" fillId="0" borderId="5" xfId="0" applyNumberFormat="1" applyFont="1" applyBorder="1"/>
    <xf numFmtId="0" fontId="0" fillId="0" borderId="5" xfId="0" applyBorder="1"/>
    <xf numFmtId="0" fontId="3" fillId="0" borderId="6" xfId="0" applyFont="1" applyBorder="1"/>
    <xf numFmtId="0" fontId="0" fillId="0" borderId="6" xfId="0" applyBorder="1"/>
    <xf numFmtId="0" fontId="0" fillId="0" borderId="7" xfId="0" applyBorder="1"/>
    <xf numFmtId="49" fontId="0" fillId="0" borderId="0" xfId="0" applyNumberFormat="1" applyFont="1" applyBorder="1"/>
    <xf numFmtId="0" fontId="0" fillId="0" borderId="8" xfId="0" applyBorder="1" applyAlignment="1">
      <alignment horizontal="center"/>
    </xf>
    <xf numFmtId="0" fontId="0" fillId="0" borderId="0" xfId="0" applyBorder="1" applyAlignment="1">
      <alignment horizontal="center"/>
    </xf>
    <xf numFmtId="166" fontId="0" fillId="0" borderId="9" xfId="0" applyNumberFormat="1" applyBorder="1" applyAlignment="1">
      <alignment horizontal="center"/>
    </xf>
    <xf numFmtId="166" fontId="0" fillId="0" borderId="5" xfId="0" applyNumberFormat="1" applyBorder="1" applyAlignment="1">
      <alignment horizontal="center"/>
    </xf>
    <xf numFmtId="166" fontId="0" fillId="0" borderId="0" xfId="0" applyNumberFormat="1" applyBorder="1" applyAlignment="1">
      <alignment horizontal="center"/>
    </xf>
    <xf numFmtId="0" fontId="6" fillId="0" borderId="0" xfId="0" applyFont="1" applyAlignment="1">
      <alignment horizontal="center"/>
    </xf>
    <xf numFmtId="49" fontId="0" fillId="0" borderId="0" xfId="0" applyNumberFormat="1" applyFont="1" applyFill="1" applyBorder="1"/>
    <xf numFmtId="0" fontId="0" fillId="0" borderId="0" xfId="0" applyFill="1" applyBorder="1"/>
    <xf numFmtId="166" fontId="0" fillId="0" borderId="0" xfId="0" applyNumberFormat="1" applyFill="1" applyBorder="1" applyAlignment="1">
      <alignment horizontal="center"/>
    </xf>
    <xf numFmtId="166" fontId="0" fillId="0" borderId="6" xfId="0" applyNumberFormat="1" applyBorder="1" applyAlignment="1">
      <alignment horizontal="center"/>
    </xf>
    <xf numFmtId="166" fontId="0" fillId="0" borderId="10" xfId="0" applyNumberFormat="1" applyFill="1" applyBorder="1" applyAlignment="1">
      <alignment horizontal="center"/>
    </xf>
    <xf numFmtId="166" fontId="0" fillId="0" borderId="10" xfId="0" applyNumberFormat="1" applyBorder="1" applyAlignment="1">
      <alignment horizontal="center"/>
    </xf>
    <xf numFmtId="166" fontId="6" fillId="0" borderId="10" xfId="0" applyNumberFormat="1" applyFont="1" applyBorder="1" applyAlignment="1">
      <alignment horizontal="center"/>
    </xf>
    <xf numFmtId="166" fontId="0" fillId="0" borderId="11" xfId="0" applyNumberFormat="1" applyBorder="1" applyAlignment="1">
      <alignment horizontal="center"/>
    </xf>
    <xf numFmtId="166" fontId="0" fillId="0" borderId="12" xfId="0" applyNumberFormat="1" applyBorder="1" applyAlignment="1">
      <alignment horizontal="center"/>
    </xf>
    <xf numFmtId="166" fontId="0" fillId="0" borderId="13" xfId="0" applyNumberFormat="1" applyBorder="1" applyAlignment="1">
      <alignment horizontal="center"/>
    </xf>
    <xf numFmtId="0" fontId="3" fillId="0" borderId="14" xfId="0" applyFon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 xfId="0" applyNumberFormat="1" applyBorder="1" applyAlignment="1">
      <alignment horizontal="center"/>
    </xf>
    <xf numFmtId="2" fontId="0" fillId="0" borderId="9" xfId="0" applyNumberFormat="1" applyBorder="1" applyAlignment="1">
      <alignment horizontal="center"/>
    </xf>
    <xf numFmtId="2" fontId="0" fillId="0" borderId="1" xfId="0" applyNumberFormat="1" applyFill="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0" xfId="0" applyAlignment="1">
      <alignment vertical="center" wrapText="1"/>
    </xf>
    <xf numFmtId="0" fontId="0" fillId="0" borderId="0" xfId="0" applyAlignment="1">
      <alignment vertical="center"/>
    </xf>
    <xf numFmtId="166" fontId="0" fillId="0" borderId="8" xfId="0" applyNumberFormat="1" applyBorder="1" applyAlignment="1">
      <alignment horizontal="center"/>
    </xf>
    <xf numFmtId="166" fontId="0" fillId="0" borderId="16" xfId="0" applyNumberFormat="1" applyBorder="1" applyAlignment="1">
      <alignment horizontal="center"/>
    </xf>
    <xf numFmtId="0" fontId="0" fillId="0" borderId="17" xfId="0" applyBorder="1" applyAlignment="1"/>
    <xf numFmtId="0" fontId="0" fillId="0" borderId="6" xfId="0" applyBorder="1" applyAlignment="1"/>
    <xf numFmtId="0" fontId="6" fillId="0" borderId="18" xfId="0" applyFont="1" applyBorder="1" applyAlignment="1">
      <alignment horizontal="center"/>
    </xf>
    <xf numFmtId="0" fontId="1" fillId="0" borderId="0" xfId="0" applyFont="1"/>
    <xf numFmtId="0" fontId="1" fillId="0" borderId="19" xfId="0" applyFont="1" applyBorder="1"/>
    <xf numFmtId="0" fontId="0" fillId="0" borderId="14" xfId="0" applyBorder="1"/>
    <xf numFmtId="0" fontId="1" fillId="0" borderId="18" xfId="0" applyFont="1" applyBorder="1"/>
    <xf numFmtId="0" fontId="1" fillId="0" borderId="0" xfId="0" applyFont="1" applyAlignment="1">
      <alignment horizontal="center"/>
    </xf>
    <xf numFmtId="0" fontId="1" fillId="0" borderId="3" xfId="0" applyFont="1" applyBorder="1" applyAlignment="1">
      <alignment horizontal="center" vertical="center" wrapText="1"/>
    </xf>
    <xf numFmtId="0" fontId="0" fillId="0" borderId="15" xfId="0" applyBorder="1"/>
    <xf numFmtId="2" fontId="0" fillId="0" borderId="0" xfId="0" applyNumberFormat="1" applyFill="1" applyBorder="1" applyAlignment="1">
      <alignment horizontal="center"/>
    </xf>
    <xf numFmtId="0" fontId="3" fillId="0" borderId="0" xfId="0" applyFont="1" applyBorder="1"/>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0" fillId="0" borderId="20" xfId="0" quotePrefix="1" applyBorder="1" applyAlignment="1">
      <alignment horizontal="center"/>
    </xf>
    <xf numFmtId="0" fontId="0" fillId="0" borderId="20" xfId="0" applyBorder="1" applyAlignment="1"/>
    <xf numFmtId="0" fontId="0" fillId="0" borderId="6" xfId="0" applyFill="1" applyBorder="1" applyAlignment="1">
      <alignment horizontal="center"/>
    </xf>
    <xf numFmtId="0" fontId="0" fillId="0" borderId="6" xfId="0" applyFill="1" applyBorder="1" applyAlignment="1"/>
    <xf numFmtId="0" fontId="6" fillId="0" borderId="0" xfId="0" applyFont="1" applyFill="1" applyBorder="1" applyAlignment="1">
      <alignment horizontal="center"/>
    </xf>
    <xf numFmtId="2" fontId="0" fillId="0" borderId="0" xfId="0" applyNumberFormat="1" applyFill="1" applyBorder="1" applyAlignment="1"/>
    <xf numFmtId="0" fontId="0" fillId="0" borderId="0" xfId="0" quotePrefix="1"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vertical="top"/>
    </xf>
    <xf numFmtId="0" fontId="0" fillId="0" borderId="0" xfId="0" quotePrefix="1" applyFill="1" applyBorder="1" applyAlignment="1">
      <alignment horizontal="center" vertical="top"/>
    </xf>
    <xf numFmtId="0" fontId="0" fillId="0" borderId="3" xfId="0" applyFill="1" applyBorder="1" applyAlignment="1">
      <alignment horizontal="center" vertical="top"/>
    </xf>
    <xf numFmtId="0" fontId="1" fillId="0" borderId="3" xfId="0" quotePrefix="1" applyFont="1" applyFill="1" applyBorder="1" applyAlignment="1">
      <alignment horizontal="center" vertical="top"/>
    </xf>
    <xf numFmtId="0" fontId="1" fillId="0" borderId="1" xfId="0" quotePrefix="1" applyFont="1" applyFill="1" applyBorder="1" applyAlignment="1">
      <alignment horizontal="center" vertical="top"/>
    </xf>
    <xf numFmtId="0" fontId="1" fillId="0" borderId="21" xfId="0" quotePrefix="1" applyFont="1" applyFill="1" applyBorder="1" applyAlignment="1">
      <alignment horizontal="center"/>
    </xf>
    <xf numFmtId="0" fontId="0" fillId="0" borderId="2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1" fillId="0" borderId="0" xfId="0" applyFont="1" applyBorder="1"/>
    <xf numFmtId="164" fontId="0" fillId="0" borderId="0" xfId="0" applyNumberFormat="1" applyBorder="1" applyAlignment="1">
      <alignment horizontal="center"/>
    </xf>
    <xf numFmtId="0" fontId="1" fillId="0" borderId="17" xfId="0" applyFont="1" applyBorder="1" applyAlignment="1"/>
    <xf numFmtId="0" fontId="2" fillId="0" borderId="0" xfId="0" applyFont="1" applyAlignment="1">
      <alignment vertical="center"/>
    </xf>
    <xf numFmtId="0" fontId="6"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vertical="center"/>
    </xf>
    <xf numFmtId="2" fontId="0" fillId="0" borderId="15" xfId="0" applyNumberFormat="1" applyFill="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Fill="1" applyBorder="1" applyAlignment="1"/>
    <xf numFmtId="0" fontId="3" fillId="0" borderId="3" xfId="0" applyFont="1" applyBorder="1"/>
    <xf numFmtId="0" fontId="3" fillId="0" borderId="3" xfId="0" applyFont="1" applyFill="1" applyBorder="1" applyAlignment="1">
      <alignment horizontal="center"/>
    </xf>
    <xf numFmtId="0" fontId="3" fillId="0" borderId="3" xfId="0" applyFont="1" applyFill="1" applyBorder="1" applyAlignment="1">
      <alignment horizontal="left"/>
    </xf>
    <xf numFmtId="164" fontId="0" fillId="0" borderId="3" xfId="0" applyNumberFormat="1" applyFill="1" applyBorder="1" applyAlignment="1">
      <alignment horizontal="center" vertical="top"/>
    </xf>
    <xf numFmtId="164" fontId="0" fillId="0" borderId="1" xfId="0" applyNumberFormat="1" applyFill="1" applyBorder="1" applyAlignment="1">
      <alignment horizontal="center" vertical="top"/>
    </xf>
    <xf numFmtId="2" fontId="0" fillId="0" borderId="3" xfId="0" applyNumberFormat="1" applyFill="1" applyBorder="1" applyAlignment="1">
      <alignment horizontal="center" vertical="top"/>
    </xf>
    <xf numFmtId="2" fontId="0" fillId="0" borderId="1" xfId="0" applyNumberFormat="1" applyFill="1" applyBorder="1" applyAlignment="1">
      <alignment horizontal="center" vertical="top"/>
    </xf>
    <xf numFmtId="164" fontId="0" fillId="0" borderId="1" xfId="0" applyNumberFormat="1" applyBorder="1" applyAlignment="1">
      <alignment horizontal="center"/>
    </xf>
    <xf numFmtId="164" fontId="0" fillId="0" borderId="15" xfId="0" applyNumberFormat="1" applyBorder="1" applyAlignment="1">
      <alignment horizontal="center"/>
    </xf>
    <xf numFmtId="20" fontId="1" fillId="0" borderId="0" xfId="0" quotePrefix="1" applyNumberFormat="1" applyFont="1" applyAlignment="1">
      <alignment horizontal="center"/>
    </xf>
    <xf numFmtId="0" fontId="1" fillId="0" borderId="0" xfId="0" quotePrefix="1" applyFont="1" applyAlignment="1">
      <alignment horizontal="center"/>
    </xf>
    <xf numFmtId="0" fontId="2" fillId="0" borderId="0" xfId="0" applyFont="1" applyFill="1" applyBorder="1" applyAlignment="1"/>
    <xf numFmtId="2" fontId="0" fillId="0" borderId="3" xfId="0" applyNumberFormat="1" applyFill="1" applyBorder="1" applyAlignment="1">
      <alignment horizontal="center"/>
    </xf>
    <xf numFmtId="164" fontId="0" fillId="0" borderId="3" xfId="0" applyNumberFormat="1" applyFill="1" applyBorder="1" applyAlignment="1">
      <alignment horizontal="center"/>
    </xf>
    <xf numFmtId="0" fontId="15" fillId="0" borderId="0" xfId="0" applyFont="1"/>
    <xf numFmtId="0" fontId="3" fillId="0" borderId="22" xfId="0" applyFont="1" applyBorder="1"/>
    <xf numFmtId="164" fontId="0" fillId="0" borderId="13" xfId="0" applyNumberFormat="1" applyFill="1" applyBorder="1" applyAlignment="1">
      <alignment horizontal="center"/>
    </xf>
    <xf numFmtId="0" fontId="1" fillId="0" borderId="0" xfId="0" applyFont="1" applyFill="1"/>
    <xf numFmtId="0" fontId="0" fillId="0" borderId="0" xfId="0" applyFill="1"/>
    <xf numFmtId="0" fontId="1" fillId="0" borderId="0"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applyAlignment="1">
      <alignment vertical="center"/>
    </xf>
    <xf numFmtId="49"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2" fontId="2"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166" fontId="1"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1" fillId="0" borderId="3" xfId="0" quotePrefix="1" applyFont="1" applyFill="1" applyBorder="1" applyAlignment="1">
      <alignment horizontal="center"/>
    </xf>
    <xf numFmtId="49" fontId="1" fillId="0" borderId="0" xfId="0" applyNumberFormat="1" applyFont="1" applyFill="1" applyBorder="1" applyAlignment="1"/>
    <xf numFmtId="0" fontId="0" fillId="0" borderId="0" xfId="0" applyFill="1" applyBorder="1" applyAlignment="1">
      <alignment vertical="top"/>
    </xf>
    <xf numFmtId="0" fontId="1" fillId="0" borderId="23" xfId="0" quotePrefix="1" applyFont="1" applyFill="1" applyBorder="1" applyAlignment="1">
      <alignment horizontal="center"/>
    </xf>
    <xf numFmtId="0" fontId="1" fillId="0" borderId="0" xfId="0" applyFont="1" applyFill="1" applyBorder="1" applyAlignment="1">
      <alignment horizontal="center" vertical="top"/>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left"/>
    </xf>
    <xf numFmtId="1" fontId="0" fillId="0" borderId="0" xfId="0" applyNumberFormat="1" applyFill="1" applyBorder="1" applyAlignment="1">
      <alignment horizontal="center" vertical="center"/>
    </xf>
    <xf numFmtId="2" fontId="1" fillId="0" borderId="0" xfId="0" applyNumberFormat="1" applyFont="1" applyFill="1" applyBorder="1" applyAlignment="1">
      <alignment horizontal="center"/>
    </xf>
    <xf numFmtId="2" fontId="0" fillId="0" borderId="0" xfId="0" applyNumberFormat="1" applyFill="1" applyBorder="1" applyAlignment="1">
      <alignment horizontal="center" vertical="top"/>
    </xf>
    <xf numFmtId="2" fontId="1" fillId="0" borderId="0" xfId="0" quotePrefix="1" applyNumberFormat="1" applyFont="1" applyFill="1" applyBorder="1" applyAlignment="1">
      <alignment horizontal="center" vertical="top"/>
    </xf>
    <xf numFmtId="167" fontId="0" fillId="0" borderId="3" xfId="0" applyNumberFormat="1" applyFill="1" applyBorder="1" applyAlignment="1">
      <alignment horizont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Border="1" applyAlignment="1"/>
    <xf numFmtId="0" fontId="1" fillId="0" borderId="0" xfId="0" quotePrefix="1" applyFont="1" applyFill="1" applyBorder="1" applyAlignment="1">
      <alignment horizontal="center"/>
    </xf>
    <xf numFmtId="164" fontId="1" fillId="0" borderId="3" xfId="0" quotePrefix="1" applyNumberFormat="1" applyFont="1" applyFill="1" applyBorder="1" applyAlignment="1">
      <alignment horizontal="center"/>
    </xf>
    <xf numFmtId="0" fontId="1" fillId="0" borderId="0" xfId="0" applyFont="1" applyFill="1" applyBorder="1" applyAlignment="1">
      <alignment vertical="top"/>
    </xf>
    <xf numFmtId="166" fontId="3" fillId="0" borderId="0" xfId="0" applyNumberFormat="1" applyFont="1" applyFill="1" applyBorder="1" applyAlignment="1">
      <alignment horizontal="center" vertical="top"/>
    </xf>
    <xf numFmtId="2" fontId="1" fillId="0" borderId="0" xfId="0" applyNumberFormat="1" applyFont="1" applyFill="1" applyBorder="1" applyAlignment="1">
      <alignment horizontal="left"/>
    </xf>
    <xf numFmtId="0" fontId="3" fillId="0" borderId="0" xfId="0" applyFont="1" applyFill="1" applyBorder="1" applyAlignment="1">
      <alignment vertical="top"/>
    </xf>
    <xf numFmtId="167" fontId="0" fillId="0" borderId="16" xfId="0" applyNumberFormat="1" applyFill="1" applyBorder="1" applyAlignment="1">
      <alignment horizontal="center" vertical="center"/>
    </xf>
    <xf numFmtId="167" fontId="1" fillId="0" borderId="16" xfId="0" quotePrefix="1" applyNumberFormat="1" applyFont="1" applyFill="1" applyBorder="1" applyAlignment="1">
      <alignment horizontal="center" vertical="center"/>
    </xf>
    <xf numFmtId="2" fontId="3" fillId="0" borderId="0" xfId="0" applyNumberFormat="1" applyFont="1" applyFill="1" applyBorder="1" applyAlignment="1">
      <alignment horizontal="center" vertical="top"/>
    </xf>
    <xf numFmtId="0" fontId="3" fillId="0" borderId="0" xfId="0" applyFont="1" applyFill="1" applyBorder="1" applyAlignment="1">
      <alignment horizontal="left"/>
    </xf>
    <xf numFmtId="0" fontId="1" fillId="0" borderId="0" xfId="0" quotePrefix="1" applyFont="1" applyFill="1" applyBorder="1" applyAlignment="1">
      <alignment horizontal="center" vertical="center"/>
    </xf>
    <xf numFmtId="0" fontId="0" fillId="0" borderId="0" xfId="0" quotePrefix="1" applyFill="1" applyBorder="1" applyAlignment="1">
      <alignment horizontal="center" vertical="center"/>
    </xf>
    <xf numFmtId="2" fontId="1" fillId="0" borderId="0" xfId="0" quotePrefix="1" applyNumberFormat="1" applyFont="1" applyFill="1" applyBorder="1" applyAlignment="1">
      <alignment horizontal="center" vertical="center"/>
    </xf>
    <xf numFmtId="0" fontId="1" fillId="0" borderId="14" xfId="0" quotePrefix="1" applyFont="1" applyFill="1" applyBorder="1" applyAlignment="1">
      <alignment horizontal="center"/>
    </xf>
    <xf numFmtId="0" fontId="0" fillId="2" borderId="19" xfId="0" applyFill="1" applyBorder="1" applyAlignment="1">
      <alignment horizontal="center"/>
    </xf>
    <xf numFmtId="3" fontId="0" fillId="3" borderId="17" xfId="0" applyNumberFormat="1" applyFill="1" applyBorder="1" applyAlignment="1">
      <alignment horizontal="center"/>
    </xf>
    <xf numFmtId="0" fontId="0" fillId="3" borderId="2" xfId="0" applyFill="1" applyBorder="1"/>
    <xf numFmtId="0" fontId="0" fillId="3" borderId="4" xfId="0" applyFill="1" applyBorder="1"/>
    <xf numFmtId="0" fontId="0" fillId="2" borderId="2" xfId="0" applyFill="1" applyBorder="1"/>
    <xf numFmtId="0" fontId="0" fillId="2" borderId="4" xfId="0" applyFill="1" applyBorder="1"/>
    <xf numFmtId="0" fontId="0" fillId="4" borderId="2" xfId="0" applyFill="1" applyBorder="1"/>
    <xf numFmtId="0" fontId="0" fillId="4" borderId="4" xfId="0" applyFill="1" applyBorder="1"/>
    <xf numFmtId="0" fontId="0" fillId="2" borderId="0" xfId="0" applyFill="1" applyAlignment="1">
      <alignment horizontal="center"/>
    </xf>
    <xf numFmtId="166" fontId="0" fillId="4" borderId="0" xfId="0" applyNumberFormat="1" applyFill="1" applyBorder="1" applyAlignment="1">
      <alignment horizontal="center"/>
    </xf>
    <xf numFmtId="166" fontId="0" fillId="4" borderId="0" xfId="0" applyNumberFormat="1" applyFill="1" applyAlignment="1">
      <alignment horizontal="center"/>
    </xf>
    <xf numFmtId="0" fontId="0" fillId="0" borderId="0" xfId="0" applyFill="1" applyBorder="1" applyAlignment="1">
      <alignment wrapText="1"/>
    </xf>
    <xf numFmtId="166" fontId="0" fillId="4" borderId="10" xfId="0" applyNumberFormat="1" applyFill="1" applyBorder="1" applyAlignment="1">
      <alignment horizontal="center"/>
    </xf>
    <xf numFmtId="166" fontId="0" fillId="4" borderId="2" xfId="0" applyNumberFormat="1" applyFill="1" applyBorder="1" applyAlignment="1">
      <alignment horizontal="center"/>
    </xf>
    <xf numFmtId="166" fontId="0" fillId="4" borderId="7" xfId="0" applyNumberFormat="1" applyFill="1" applyBorder="1" applyAlignment="1">
      <alignment horizontal="center"/>
    </xf>
    <xf numFmtId="166" fontId="6" fillId="4" borderId="10" xfId="0" applyNumberFormat="1" applyFont="1" applyFill="1" applyBorder="1" applyAlignment="1">
      <alignment horizontal="center"/>
    </xf>
    <xf numFmtId="166" fontId="0" fillId="4" borderId="8" xfId="0" applyNumberFormat="1" applyFill="1" applyBorder="1" applyAlignment="1">
      <alignment horizontal="center"/>
    </xf>
    <xf numFmtId="166" fontId="0" fillId="4" borderId="24" xfId="0" applyNumberFormat="1" applyFill="1" applyBorder="1" applyAlignment="1">
      <alignment horizontal="center"/>
    </xf>
    <xf numFmtId="166" fontId="0" fillId="4" borderId="25" xfId="0" applyNumberFormat="1" applyFill="1" applyBorder="1" applyAlignment="1">
      <alignment horizontal="center"/>
    </xf>
    <xf numFmtId="0" fontId="0" fillId="0" borderId="14" xfId="0" applyBorder="1" applyAlignment="1">
      <alignment horizontal="center"/>
    </xf>
    <xf numFmtId="0" fontId="0" fillId="0" borderId="17" xfId="0" applyBorder="1"/>
    <xf numFmtId="0" fontId="0" fillId="0" borderId="17" xfId="0" applyBorder="1" applyAlignment="1">
      <alignment horizontal="center"/>
    </xf>
    <xf numFmtId="0" fontId="0" fillId="0" borderId="3" xfId="0" applyBorder="1" applyAlignment="1">
      <alignment horizontal="center"/>
    </xf>
    <xf numFmtId="166" fontId="0" fillId="0" borderId="14" xfId="0" applyNumberFormat="1" applyBorder="1" applyAlignment="1">
      <alignment horizontal="center"/>
    </xf>
    <xf numFmtId="166" fontId="0" fillId="0" borderId="17" xfId="0" applyNumberFormat="1" applyBorder="1" applyAlignment="1">
      <alignment horizontal="center"/>
    </xf>
    <xf numFmtId="0" fontId="0" fillId="2" borderId="3" xfId="0" applyFill="1" applyBorder="1" applyAlignment="1">
      <alignment horizontal="center"/>
    </xf>
    <xf numFmtId="164" fontId="0" fillId="0" borderId="4" xfId="0" applyNumberFormat="1" applyBorder="1" applyAlignment="1">
      <alignment horizontal="center"/>
    </xf>
    <xf numFmtId="3" fontId="1" fillId="0" borderId="14" xfId="0" applyNumberFormat="1" applyFont="1" applyFill="1" applyBorder="1" applyAlignment="1">
      <alignment horizontal="right"/>
    </xf>
    <xf numFmtId="164" fontId="0" fillId="0" borderId="15" xfId="0" applyNumberFormat="1" applyFill="1" applyBorder="1" applyAlignment="1">
      <alignment horizontal="center" vertical="top"/>
    </xf>
    <xf numFmtId="49" fontId="2" fillId="0" borderId="0" xfId="0" applyNumberFormat="1" applyFont="1"/>
    <xf numFmtId="0" fontId="2" fillId="0" borderId="0" xfId="0" applyFont="1"/>
    <xf numFmtId="49" fontId="0" fillId="0" borderId="17" xfId="0" applyNumberFormat="1" applyFont="1" applyBorder="1"/>
    <xf numFmtId="164" fontId="0" fillId="4" borderId="1" xfId="0" applyNumberFormat="1" applyFill="1" applyBorder="1" applyAlignment="1">
      <alignment horizontal="center"/>
    </xf>
    <xf numFmtId="0" fontId="1" fillId="5" borderId="26" xfId="0" applyFont="1" applyFill="1" applyBorder="1" applyAlignment="1">
      <alignment horizontal="right"/>
    </xf>
    <xf numFmtId="3" fontId="0" fillId="5" borderId="27" xfId="0" applyNumberFormat="1" applyFill="1" applyBorder="1" applyAlignment="1">
      <alignment horizontal="center"/>
    </xf>
    <xf numFmtId="0" fontId="1" fillId="5" borderId="28" xfId="0" applyFont="1" applyFill="1" applyBorder="1" applyAlignment="1">
      <alignment horizontal="left"/>
    </xf>
    <xf numFmtId="3" fontId="0" fillId="0" borderId="0" xfId="0" applyNumberFormat="1" applyFill="1" applyBorder="1" applyAlignment="1"/>
    <xf numFmtId="0" fontId="1" fillId="0" borderId="0" xfId="0" applyFont="1" applyAlignment="1">
      <alignment horizontal="right"/>
    </xf>
    <xf numFmtId="0" fontId="0" fillId="2" borderId="17" xfId="0" applyFill="1" applyBorder="1" applyAlignment="1">
      <alignment horizontal="center"/>
    </xf>
    <xf numFmtId="0" fontId="0" fillId="2" borderId="14" xfId="0" applyFill="1" applyBorder="1" applyAlignment="1">
      <alignment horizontal="center"/>
    </xf>
    <xf numFmtId="0" fontId="16" fillId="0" borderId="0" xfId="0" applyFont="1"/>
    <xf numFmtId="0" fontId="17" fillId="0" borderId="0" xfId="0" applyFont="1"/>
    <xf numFmtId="0" fontId="18" fillId="0" borderId="0" xfId="0" applyFont="1" applyFill="1" applyBorder="1" applyAlignment="1"/>
    <xf numFmtId="0" fontId="1" fillId="0" borderId="2" xfId="0" quotePrefix="1" applyFont="1" applyFill="1" applyBorder="1" applyAlignment="1">
      <alignment horizontal="center"/>
    </xf>
    <xf numFmtId="0" fontId="1" fillId="0" borderId="7" xfId="0" quotePrefix="1" applyFont="1" applyFill="1" applyBorder="1" applyAlignment="1">
      <alignment horizontal="center"/>
    </xf>
    <xf numFmtId="164" fontId="0" fillId="0" borderId="12" xfId="0" applyNumberFormat="1" applyFill="1" applyBorder="1" applyAlignment="1">
      <alignment horizontal="center" vertical="center"/>
    </xf>
    <xf numFmtId="1" fontId="0" fillId="3" borderId="12" xfId="0" applyNumberFormat="1" applyFill="1" applyBorder="1" applyAlignment="1">
      <alignment horizontal="center" vertical="center"/>
    </xf>
    <xf numFmtId="0" fontId="1" fillId="0" borderId="12" xfId="0" quotePrefix="1" applyFont="1" applyFill="1" applyBorder="1" applyAlignment="1">
      <alignment horizontal="center" vertical="center"/>
    </xf>
    <xf numFmtId="164" fontId="0" fillId="0" borderId="12" xfId="0" applyNumberFormat="1" applyFill="1" applyBorder="1" applyAlignment="1">
      <alignment horizontal="center"/>
    </xf>
    <xf numFmtId="164" fontId="0" fillId="0" borderId="30" xfId="0" applyNumberFormat="1" applyFill="1" applyBorder="1" applyAlignment="1">
      <alignment horizontal="center"/>
    </xf>
    <xf numFmtId="0" fontId="1" fillId="0" borderId="30" xfId="0" quotePrefix="1" applyFont="1" applyFill="1" applyBorder="1" applyAlignment="1">
      <alignment horizontal="center"/>
    </xf>
    <xf numFmtId="0" fontId="0" fillId="0" borderId="30" xfId="0" applyFill="1" applyBorder="1" applyAlignment="1"/>
    <xf numFmtId="0" fontId="1" fillId="0" borderId="31" xfId="0" quotePrefix="1" applyFont="1" applyFill="1" applyBorder="1" applyAlignment="1">
      <alignment horizontal="center"/>
    </xf>
    <xf numFmtId="167" fontId="0" fillId="0" borderId="30" xfId="0" applyNumberFormat="1" applyFill="1" applyBorder="1" applyAlignment="1">
      <alignment horizontal="center"/>
    </xf>
    <xf numFmtId="164" fontId="0" fillId="0" borderId="32" xfId="0" applyNumberFormat="1" applyFill="1" applyBorder="1" applyAlignment="1">
      <alignment horizontal="center"/>
    </xf>
    <xf numFmtId="167" fontId="0" fillId="0" borderId="32" xfId="0" applyNumberFormat="1" applyFill="1" applyBorder="1" applyAlignment="1">
      <alignment horizontal="center"/>
    </xf>
    <xf numFmtId="0" fontId="0" fillId="0" borderId="30" xfId="0" applyFill="1" applyBorder="1" applyAlignment="1">
      <alignment horizontal="center"/>
    </xf>
    <xf numFmtId="164" fontId="0" fillId="0" borderId="34" xfId="0" applyNumberFormat="1" applyFill="1" applyBorder="1" applyAlignment="1">
      <alignment horizontal="center"/>
    </xf>
    <xf numFmtId="0" fontId="0" fillId="7" borderId="35" xfId="0" quotePrefix="1" applyFill="1" applyBorder="1" applyAlignment="1">
      <alignment horizontal="center"/>
    </xf>
    <xf numFmtId="0" fontId="0" fillId="7" borderId="23" xfId="0" quotePrefix="1" applyFill="1" applyBorder="1" applyAlignment="1">
      <alignment horizontal="center"/>
    </xf>
    <xf numFmtId="0" fontId="0" fillId="7" borderId="21" xfId="0" quotePrefix="1" applyFill="1" applyBorder="1" applyAlignment="1">
      <alignment horizontal="center"/>
    </xf>
    <xf numFmtId="0" fontId="4" fillId="7" borderId="19" xfId="0" applyFont="1" applyFill="1" applyBorder="1" applyAlignment="1">
      <alignment horizontal="center"/>
    </xf>
    <xf numFmtId="0" fontId="4" fillId="7" borderId="14" xfId="0" applyFont="1" applyFill="1" applyBorder="1" applyAlignment="1">
      <alignment horizontal="center"/>
    </xf>
    <xf numFmtId="0" fontId="4" fillId="7" borderId="3" xfId="0" applyFont="1" applyFill="1" applyBorder="1" applyAlignment="1">
      <alignment horizontal="center"/>
    </xf>
    <xf numFmtId="2" fontId="0" fillId="7" borderId="36" xfId="0" applyNumberFormat="1" applyFill="1" applyBorder="1" applyAlignment="1">
      <alignment horizontal="center"/>
    </xf>
    <xf numFmtId="2" fontId="0" fillId="7" borderId="12" xfId="0" applyNumberFormat="1" applyFill="1" applyBorder="1" applyAlignment="1">
      <alignment horizontal="center"/>
    </xf>
    <xf numFmtId="164" fontId="0" fillId="7" borderId="13" xfId="0" applyNumberFormat="1" applyFill="1" applyBorder="1" applyAlignment="1">
      <alignment horizontal="center"/>
    </xf>
    <xf numFmtId="0" fontId="0" fillId="7" borderId="4" xfId="0" quotePrefix="1" applyFill="1" applyBorder="1" applyAlignment="1">
      <alignment horizontal="center"/>
    </xf>
    <xf numFmtId="0" fontId="3" fillId="7" borderId="3" xfId="0" applyFont="1" applyFill="1" applyBorder="1" applyAlignment="1">
      <alignment horizontal="center" vertical="top" wrapText="1"/>
    </xf>
    <xf numFmtId="0" fontId="1" fillId="7" borderId="3" xfId="0" applyFont="1" applyFill="1" applyBorder="1" applyAlignment="1">
      <alignment horizontal="center" vertical="center" wrapText="1"/>
    </xf>
    <xf numFmtId="164" fontId="0" fillId="7" borderId="3" xfId="0" applyNumberFormat="1" applyFill="1" applyBorder="1" applyAlignment="1">
      <alignment horizontal="center"/>
    </xf>
    <xf numFmtId="0" fontId="0" fillId="7" borderId="3" xfId="0" quotePrefix="1" applyFill="1" applyBorder="1" applyAlignment="1">
      <alignment horizontal="center"/>
    </xf>
    <xf numFmtId="0" fontId="0" fillId="7" borderId="1" xfId="0" quotePrefix="1" applyFill="1" applyBorder="1" applyAlignment="1">
      <alignment horizontal="center"/>
    </xf>
    <xf numFmtId="0" fontId="0" fillId="0" borderId="0" xfId="0"/>
    <xf numFmtId="164" fontId="0" fillId="0" borderId="14" xfId="0" applyNumberFormat="1" applyFill="1" applyBorder="1" applyAlignment="1">
      <alignment horizontal="center"/>
    </xf>
    <xf numFmtId="164" fontId="0" fillId="0" borderId="31" xfId="0" applyNumberFormat="1" applyFill="1" applyBorder="1" applyAlignment="1">
      <alignment horizontal="center"/>
    </xf>
    <xf numFmtId="164" fontId="0" fillId="0" borderId="33" xfId="0" applyNumberFormat="1" applyFill="1" applyBorder="1" applyAlignment="1">
      <alignment horizontal="center"/>
    </xf>
    <xf numFmtId="164" fontId="0" fillId="0" borderId="16" xfId="0" applyNumberFormat="1" applyFill="1" applyBorder="1" applyAlignment="1">
      <alignment horizontal="center" vertical="center"/>
    </xf>
    <xf numFmtId="164" fontId="0" fillId="3" borderId="3" xfId="0" applyNumberFormat="1" applyFill="1" applyBorder="1" applyAlignment="1">
      <alignment horizontal="center"/>
    </xf>
    <xf numFmtId="164" fontId="0" fillId="3" borderId="2" xfId="0" applyNumberFormat="1" applyFill="1" applyBorder="1" applyAlignment="1">
      <alignment horizontal="center"/>
    </xf>
    <xf numFmtId="164" fontId="0" fillId="6" borderId="32" xfId="0" applyNumberFormat="1" applyFill="1" applyBorder="1" applyAlignment="1">
      <alignment horizontal="center"/>
    </xf>
    <xf numFmtId="164" fontId="0" fillId="3" borderId="3" xfId="0" quotePrefix="1" applyNumberFormat="1" applyFill="1" applyBorder="1" applyAlignment="1">
      <alignment horizontal="center"/>
    </xf>
    <xf numFmtId="164" fontId="0" fillId="6" borderId="30" xfId="0" quotePrefix="1" applyNumberFormat="1" applyFill="1" applyBorder="1" applyAlignment="1">
      <alignment horizontal="center"/>
    </xf>
    <xf numFmtId="0" fontId="1" fillId="0" borderId="32" xfId="0" quotePrefix="1" applyFont="1" applyFill="1" applyBorder="1" applyAlignment="1">
      <alignment horizontal="center"/>
    </xf>
    <xf numFmtId="164" fontId="0" fillId="0" borderId="32" xfId="0" applyNumberFormat="1" applyFill="1" applyBorder="1" applyAlignment="1"/>
    <xf numFmtId="2" fontId="0" fillId="0" borderId="32" xfId="0" applyNumberFormat="1" applyFill="1" applyBorder="1" applyAlignment="1">
      <alignment horizontal="center"/>
    </xf>
    <xf numFmtId="0" fontId="0" fillId="0" borderId="32" xfId="0" applyFill="1" applyBorder="1" applyAlignment="1"/>
    <xf numFmtId="0" fontId="1" fillId="0" borderId="33" xfId="0" quotePrefix="1" applyFont="1" applyFill="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6" xfId="0" applyFont="1" applyBorder="1" applyAlignment="1">
      <alignment horizontal="left" wrapText="1"/>
    </xf>
    <xf numFmtId="0" fontId="0" fillId="0" borderId="6" xfId="0" applyBorder="1" applyAlignment="1">
      <alignment horizontal="left" wrapText="1"/>
    </xf>
    <xf numFmtId="0" fontId="0" fillId="0" borderId="29" xfId="0" applyBorder="1" applyAlignment="1">
      <alignment horizontal="left" wrapText="1"/>
    </xf>
    <xf numFmtId="0" fontId="1" fillId="0" borderId="7" xfId="0" applyFont="1" applyBorder="1"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8" xfId="0" applyFont="1"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38" xfId="0" applyBorder="1" applyAlignment="1">
      <alignment horizontal="left" wrapText="1"/>
    </xf>
    <xf numFmtId="0" fontId="0" fillId="0" borderId="8" xfId="0" applyBorder="1" applyAlignment="1">
      <alignment horizontal="left" wrapText="1"/>
    </xf>
    <xf numFmtId="0" fontId="0" fillId="0" borderId="44" xfId="0" applyBorder="1" applyAlignment="1">
      <alignment horizontal="left" wrapText="1"/>
    </xf>
    <xf numFmtId="0" fontId="0" fillId="0" borderId="22" xfId="0" applyBorder="1" applyAlignment="1">
      <alignment horizontal="left" wrapText="1"/>
    </xf>
    <xf numFmtId="0" fontId="0" fillId="0" borderId="43" xfId="0" applyBorder="1" applyAlignment="1">
      <alignment horizontal="left" wrapText="1"/>
    </xf>
    <xf numFmtId="0" fontId="1" fillId="0" borderId="22" xfId="0" applyFont="1" applyBorder="1" applyAlignment="1">
      <alignment horizontal="left" wrapText="1"/>
    </xf>
    <xf numFmtId="0" fontId="6" fillId="0" borderId="19" xfId="0" applyFont="1"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6" fillId="0" borderId="5" xfId="0" applyFont="1" applyBorder="1" applyAlignment="1">
      <alignment horizontal="center"/>
    </xf>
    <xf numFmtId="0" fontId="0" fillId="0" borderId="18" xfId="0" applyBorder="1" applyAlignment="1">
      <alignment horizontal="center"/>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15" xfId="0" applyFont="1" applyBorder="1" applyAlignment="1">
      <alignment horizontal="center" wrapText="1"/>
    </xf>
    <xf numFmtId="0" fontId="3" fillId="0" borderId="41" xfId="0" applyFont="1" applyBorder="1" applyAlignment="1">
      <alignment horizontal="center" wrapText="1"/>
    </xf>
    <xf numFmtId="0" fontId="3" fillId="0" borderId="35" xfId="0" applyFont="1" applyBorder="1" applyAlignment="1"/>
    <xf numFmtId="0" fontId="3" fillId="0" borderId="21" xfId="0" applyFont="1" applyBorder="1" applyAlignment="1"/>
    <xf numFmtId="0" fontId="3" fillId="0" borderId="19" xfId="0" applyFont="1" applyBorder="1" applyAlignment="1"/>
    <xf numFmtId="0" fontId="3" fillId="0" borderId="3" xfId="0" applyFont="1" applyBorder="1" applyAlignment="1"/>
    <xf numFmtId="0" fontId="3" fillId="0" borderId="21" xfId="0" applyFont="1" applyBorder="1" applyAlignment="1">
      <alignment horizontal="center"/>
    </xf>
    <xf numFmtId="0" fontId="3" fillId="0" borderId="23" xfId="0" applyFont="1" applyBorder="1" applyAlignment="1">
      <alignment horizontal="center"/>
    </xf>
    <xf numFmtId="0" fontId="6" fillId="0" borderId="17" xfId="0" applyFont="1"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0" xfId="0" applyBorder="1" applyAlignment="1"/>
    <xf numFmtId="0" fontId="0" fillId="0" borderId="0" xfId="0" applyAlignment="1"/>
    <xf numFmtId="0" fontId="0" fillId="0" borderId="38" xfId="0" applyBorder="1" applyAlignment="1"/>
    <xf numFmtId="0" fontId="1" fillId="3" borderId="8" xfId="0" applyFont="1" applyFill="1" applyBorder="1" applyAlignment="1">
      <alignment horizontal="center"/>
    </xf>
    <xf numFmtId="0" fontId="0" fillId="3" borderId="0" xfId="0" applyFill="1" applyAlignment="1"/>
    <xf numFmtId="0" fontId="0" fillId="3" borderId="38" xfId="0" applyFill="1" applyBorder="1" applyAlignment="1"/>
    <xf numFmtId="0" fontId="0" fillId="0" borderId="8" xfId="0" applyBorder="1" applyAlignment="1"/>
    <xf numFmtId="165" fontId="0" fillId="3" borderId="8" xfId="0" applyNumberFormat="1" applyFill="1" applyBorder="1" applyAlignment="1">
      <alignment horizontal="center"/>
    </xf>
    <xf numFmtId="0" fontId="3" fillId="0" borderId="37" xfId="0" applyFont="1" applyBorder="1" applyAlignment="1">
      <alignment horizontal="center" vertical="center"/>
    </xf>
    <xf numFmtId="0" fontId="0" fillId="0" borderId="37" xfId="0" applyBorder="1" applyAlignment="1">
      <alignment horizontal="center" vertical="center"/>
    </xf>
    <xf numFmtId="0" fontId="0" fillId="0" borderId="37" xfId="0" applyBorder="1" applyAlignment="1"/>
    <xf numFmtId="0" fontId="3" fillId="0" borderId="0" xfId="0" applyFont="1" applyFill="1" applyBorder="1" applyAlignment="1">
      <alignment horizontal="center"/>
    </xf>
    <xf numFmtId="0" fontId="0" fillId="0" borderId="0" xfId="0" applyFill="1" applyBorder="1" applyAlignment="1"/>
    <xf numFmtId="0" fontId="0" fillId="0" borderId="38" xfId="0" applyFill="1" applyBorder="1" applyAlignment="1"/>
    <xf numFmtId="0" fontId="3" fillId="0" borderId="44" xfId="0" applyFont="1" applyFill="1" applyBorder="1" applyAlignment="1">
      <alignment horizontal="center"/>
    </xf>
    <xf numFmtId="0" fontId="0" fillId="0" borderId="22" xfId="0" applyFill="1" applyBorder="1" applyAlignment="1">
      <alignment horizontal="center"/>
    </xf>
    <xf numFmtId="0" fontId="0" fillId="0" borderId="6" xfId="0" applyBorder="1" applyAlignment="1"/>
    <xf numFmtId="0" fontId="0" fillId="0" borderId="29" xfId="0" applyBorder="1" applyAlignment="1"/>
    <xf numFmtId="0" fontId="1" fillId="3" borderId="7" xfId="0" applyFont="1" applyFill="1" applyBorder="1" applyAlignment="1">
      <alignment horizontal="center"/>
    </xf>
    <xf numFmtId="0" fontId="0" fillId="3" borderId="6" xfId="0" applyFill="1" applyBorder="1" applyAlignment="1"/>
    <xf numFmtId="0" fontId="0" fillId="3" borderId="29" xfId="0" applyFill="1" applyBorder="1" applyAlignment="1"/>
    <xf numFmtId="0" fontId="0" fillId="0" borderId="7" xfId="0" applyBorder="1" applyAlignment="1"/>
    <xf numFmtId="0" fontId="0" fillId="0" borderId="17" xfId="0" applyBorder="1" applyAlignment="1"/>
    <xf numFmtId="0" fontId="0" fillId="0" borderId="19" xfId="0" applyBorder="1" applyAlignment="1"/>
    <xf numFmtId="0" fontId="0" fillId="0" borderId="7" xfId="0" quotePrefix="1" applyBorder="1" applyAlignment="1">
      <alignment horizontal="center"/>
    </xf>
    <xf numFmtId="0" fontId="0" fillId="3" borderId="7" xfId="0" applyFill="1" applyBorder="1" applyAlignment="1">
      <alignment horizontal="center"/>
    </xf>
    <xf numFmtId="0" fontId="0" fillId="0" borderId="14" xfId="0" quotePrefix="1" applyBorder="1" applyAlignment="1">
      <alignment horizontal="center"/>
    </xf>
    <xf numFmtId="3" fontId="0" fillId="3" borderId="14" xfId="0" applyNumberFormat="1" applyFill="1" applyBorder="1" applyAlignment="1">
      <alignment horizontal="center"/>
    </xf>
    <xf numFmtId="3" fontId="0" fillId="3" borderId="17" xfId="0" applyNumberFormat="1" applyFill="1" applyBorder="1" applyAlignment="1"/>
    <xf numFmtId="0" fontId="0" fillId="0" borderId="48" xfId="0" applyBorder="1" applyAlignment="1"/>
    <xf numFmtId="0" fontId="6" fillId="3" borderId="44" xfId="0" applyFont="1" applyFill="1" applyBorder="1" applyAlignment="1">
      <alignment horizontal="center"/>
    </xf>
    <xf numFmtId="0" fontId="0" fillId="3" borderId="22" xfId="0" applyFill="1" applyBorder="1" applyAlignment="1"/>
    <xf numFmtId="0" fontId="3" fillId="0" borderId="17" xfId="0" applyFont="1" applyFill="1" applyBorder="1" applyAlignment="1">
      <alignment horizontal="center"/>
    </xf>
    <xf numFmtId="0" fontId="0" fillId="0" borderId="17" xfId="0" applyFill="1" applyBorder="1" applyAlignment="1"/>
    <xf numFmtId="0" fontId="0" fillId="0" borderId="19" xfId="0" applyFill="1" applyBorder="1" applyAlignment="1"/>
    <xf numFmtId="0" fontId="3" fillId="0" borderId="14" xfId="0" applyFont="1" applyFill="1" applyBorder="1" applyAlignment="1">
      <alignment horizontal="center"/>
    </xf>
    <xf numFmtId="0" fontId="6" fillId="0" borderId="14" xfId="0" applyFont="1" applyBorder="1" applyAlignment="1">
      <alignment horizontal="center"/>
    </xf>
    <xf numFmtId="0" fontId="0" fillId="0" borderId="14" xfId="0" applyBorder="1" applyAlignment="1">
      <alignment horizontal="center"/>
    </xf>
    <xf numFmtId="166" fontId="1" fillId="3" borderId="14" xfId="0" applyNumberFormat="1" applyFont="1" applyFill="1" applyBorder="1" applyAlignment="1">
      <alignment horizontal="center"/>
    </xf>
    <xf numFmtId="166" fontId="0" fillId="3" borderId="17" xfId="0" applyNumberFormat="1" applyFill="1" applyBorder="1" applyAlignment="1"/>
    <xf numFmtId="0" fontId="1" fillId="0" borderId="14" xfId="0" applyFont="1" applyBorder="1" applyAlignment="1">
      <alignment horizontal="right"/>
    </xf>
    <xf numFmtId="0" fontId="0" fillId="0" borderId="19" xfId="0" applyBorder="1" applyAlignment="1">
      <alignment horizontal="right"/>
    </xf>
    <xf numFmtId="0" fontId="0" fillId="2" borderId="14" xfId="0" applyFill="1" applyBorder="1" applyAlignment="1">
      <alignment horizontal="center"/>
    </xf>
    <xf numFmtId="0" fontId="0" fillId="2" borderId="17" xfId="0" applyFill="1" applyBorder="1" applyAlignment="1"/>
    <xf numFmtId="0" fontId="0" fillId="3" borderId="14" xfId="0" applyFill="1" applyBorder="1" applyAlignment="1">
      <alignment horizontal="center"/>
    </xf>
    <xf numFmtId="0" fontId="0" fillId="3" borderId="17" xfId="0" applyFill="1" applyBorder="1" applyAlignment="1"/>
    <xf numFmtId="0" fontId="6" fillId="0" borderId="17" xfId="0" applyFont="1" applyBorder="1" applyAlignment="1"/>
    <xf numFmtId="2" fontId="0" fillId="3" borderId="14" xfId="0" applyNumberFormat="1" applyFill="1" applyBorder="1" applyAlignment="1">
      <alignment horizontal="center"/>
    </xf>
    <xf numFmtId="2" fontId="0" fillId="3" borderId="17" xfId="0" applyNumberFormat="1" applyFill="1" applyBorder="1" applyAlignment="1"/>
    <xf numFmtId="0" fontId="0" fillId="0" borderId="45" xfId="0" applyBorder="1" applyAlignment="1"/>
    <xf numFmtId="0" fontId="0" fillId="0" borderId="46" xfId="0" applyBorder="1" applyAlignment="1"/>
    <xf numFmtId="0" fontId="0" fillId="0" borderId="47" xfId="0" applyBorder="1" applyAlignment="1">
      <alignment horizontal="center"/>
    </xf>
    <xf numFmtId="2" fontId="0" fillId="3" borderId="47" xfId="0" applyNumberFormat="1" applyFill="1" applyBorder="1" applyAlignment="1">
      <alignment horizontal="center"/>
    </xf>
    <xf numFmtId="0" fontId="0" fillId="3" borderId="45" xfId="0" applyFill="1" applyBorder="1" applyAlignment="1"/>
    <xf numFmtId="0" fontId="3" fillId="7" borderId="37" xfId="0" applyFont="1" applyFill="1" applyBorder="1" applyAlignment="1">
      <alignment horizontal="center" vertical="center"/>
    </xf>
    <xf numFmtId="0" fontId="0" fillId="7" borderId="37" xfId="0" applyFill="1" applyBorder="1" applyAlignment="1">
      <alignment horizontal="center" vertical="center"/>
    </xf>
    <xf numFmtId="0" fontId="0" fillId="7" borderId="29" xfId="0" applyFill="1" applyBorder="1" applyAlignment="1">
      <alignment horizontal="center" vertical="top" wrapText="1"/>
    </xf>
    <xf numFmtId="0" fontId="0" fillId="7" borderId="38" xfId="0" applyFill="1" applyBorder="1" applyAlignment="1">
      <alignment horizontal="center" vertical="top" wrapText="1"/>
    </xf>
    <xf numFmtId="0" fontId="0" fillId="7" borderId="43" xfId="0" applyFill="1" applyBorder="1" applyAlignment="1">
      <alignment horizontal="center" vertical="top" wrapText="1"/>
    </xf>
    <xf numFmtId="0" fontId="0" fillId="7" borderId="2" xfId="0" applyFill="1" applyBorder="1" applyAlignment="1">
      <alignment horizontal="center" vertical="top" wrapText="1"/>
    </xf>
    <xf numFmtId="0" fontId="0" fillId="7" borderId="10" xfId="0" applyFill="1" applyBorder="1" applyAlignment="1">
      <alignment horizontal="center" vertical="top" wrapText="1"/>
    </xf>
    <xf numFmtId="0" fontId="0" fillId="7" borderId="4" xfId="0" applyFill="1" applyBorder="1" applyAlignment="1">
      <alignment horizontal="center" vertical="top" wrapText="1"/>
    </xf>
    <xf numFmtId="0" fontId="6" fillId="7" borderId="2" xfId="0" applyFont="1" applyFill="1" applyBorder="1" applyAlignment="1">
      <alignment horizontal="center" vertical="top" wrapText="1"/>
    </xf>
    <xf numFmtId="0" fontId="0" fillId="7" borderId="6" xfId="0" quotePrefix="1" applyFill="1" applyBorder="1" applyAlignment="1">
      <alignment horizontal="center" vertical="top" wrapText="1"/>
    </xf>
    <xf numFmtId="0" fontId="0" fillId="7" borderId="0" xfId="0" applyFill="1" applyAlignment="1">
      <alignment horizontal="center" vertical="top" wrapText="1"/>
    </xf>
    <xf numFmtId="0" fontId="0" fillId="7" borderId="41" xfId="0" applyFill="1" applyBorder="1" applyAlignment="1">
      <alignment horizontal="center" vertical="top" wrapText="1"/>
    </xf>
    <xf numFmtId="0" fontId="0" fillId="0" borderId="22" xfId="0" quotePrefix="1" applyBorder="1" applyAlignment="1">
      <alignment horizontal="center"/>
    </xf>
    <xf numFmtId="0" fontId="0" fillId="0" borderId="43" xfId="0" applyBorder="1" applyAlignment="1"/>
    <xf numFmtId="0" fontId="0" fillId="0" borderId="44" xfId="0" quotePrefix="1" applyBorder="1" applyAlignment="1">
      <alignment horizontal="center"/>
    </xf>
    <xf numFmtId="0" fontId="0" fillId="7" borderId="44" xfId="0" quotePrefix="1" applyFill="1" applyBorder="1" applyAlignment="1">
      <alignment horizontal="center"/>
    </xf>
    <xf numFmtId="0" fontId="0" fillId="7" borderId="22" xfId="0" applyFill="1" applyBorder="1" applyAlignment="1"/>
    <xf numFmtId="0" fontId="1" fillId="7" borderId="7" xfId="0" applyFont="1" applyFill="1" applyBorder="1" applyAlignment="1">
      <alignment horizontal="center" vertical="top" wrapText="1"/>
    </xf>
    <xf numFmtId="0" fontId="0" fillId="7" borderId="8" xfId="0" applyFill="1" applyBorder="1" applyAlignment="1">
      <alignment horizontal="center" vertical="top" wrapText="1"/>
    </xf>
    <xf numFmtId="0" fontId="0" fillId="7" borderId="44" xfId="0" applyFill="1" applyBorder="1" applyAlignment="1">
      <alignment horizontal="center" vertical="top" wrapText="1"/>
    </xf>
    <xf numFmtId="0" fontId="0" fillId="7" borderId="6" xfId="0" applyFill="1" applyBorder="1" applyAlignment="1">
      <alignment horizontal="center" vertical="top" wrapText="1"/>
    </xf>
    <xf numFmtId="0" fontId="0" fillId="7" borderId="12" xfId="0" applyFill="1" applyBorder="1" applyAlignment="1">
      <alignment horizontal="center" vertical="top" wrapText="1"/>
    </xf>
    <xf numFmtId="0" fontId="1" fillId="7" borderId="2" xfId="0" applyFont="1" applyFill="1" applyBorder="1" applyAlignment="1">
      <alignment horizontal="center" vertical="top" wrapText="1"/>
    </xf>
    <xf numFmtId="0" fontId="0" fillId="0" borderId="14" xfId="0" quotePrefix="1" applyBorder="1" applyAlignment="1">
      <alignment horizontal="center" vertical="center" wrapText="1"/>
    </xf>
    <xf numFmtId="0" fontId="0" fillId="7" borderId="14" xfId="0" quotePrefix="1" applyFill="1" applyBorder="1" applyAlignment="1">
      <alignment horizontal="center" vertical="center" wrapText="1"/>
    </xf>
    <xf numFmtId="0" fontId="0" fillId="7" borderId="17" xfId="0" applyFill="1" applyBorder="1" applyAlignment="1"/>
    <xf numFmtId="0" fontId="3" fillId="0" borderId="7" xfId="0" applyFont="1" applyBorder="1" applyAlignment="1">
      <alignment horizontal="center" vertical="top" wrapText="1"/>
    </xf>
    <xf numFmtId="2" fontId="0" fillId="0" borderId="14" xfId="0" applyNumberFormat="1" applyFill="1" applyBorder="1" applyAlignment="1">
      <alignment horizontal="center"/>
    </xf>
    <xf numFmtId="2" fontId="0" fillId="0" borderId="19" xfId="0" applyNumberFormat="1" applyFill="1" applyBorder="1" applyAlignment="1">
      <alignment horizontal="center"/>
    </xf>
    <xf numFmtId="164" fontId="0" fillId="0" borderId="14" xfId="0" applyNumberFormat="1" applyFill="1" applyBorder="1" applyAlignment="1">
      <alignment horizontal="center"/>
    </xf>
    <xf numFmtId="164" fontId="0" fillId="0" borderId="19" xfId="0" applyNumberFormat="1" applyFill="1" applyBorder="1" applyAlignment="1"/>
    <xf numFmtId="164" fontId="0" fillId="0" borderId="19" xfId="0" applyNumberFormat="1" applyFill="1" applyBorder="1" applyAlignment="1">
      <alignment horizontal="center"/>
    </xf>
    <xf numFmtId="164" fontId="0" fillId="7" borderId="14" xfId="0" applyNumberFormat="1" applyFill="1" applyBorder="1" applyAlignment="1">
      <alignment horizontal="center"/>
    </xf>
    <xf numFmtId="164" fontId="0" fillId="7" borderId="17" xfId="0" applyNumberFormat="1" applyFill="1" applyBorder="1" applyAlignment="1">
      <alignment horizontal="center"/>
    </xf>
    <xf numFmtId="0" fontId="3" fillId="0" borderId="6" xfId="0" applyFont="1" applyBorder="1" applyAlignment="1">
      <alignment horizontal="center" vertical="top" wrapText="1"/>
    </xf>
    <xf numFmtId="0" fontId="0" fillId="0" borderId="22" xfId="0" applyBorder="1" applyAlignment="1"/>
    <xf numFmtId="0" fontId="3" fillId="0" borderId="8" xfId="0" applyFont="1" applyBorder="1" applyAlignment="1">
      <alignment horizontal="center" vertical="top" wrapText="1"/>
    </xf>
    <xf numFmtId="0" fontId="3" fillId="7" borderId="7" xfId="0" applyFont="1" applyFill="1" applyBorder="1" applyAlignment="1">
      <alignment horizontal="center" vertical="top" wrapText="1"/>
    </xf>
    <xf numFmtId="0" fontId="0" fillId="7" borderId="6" xfId="0" applyFill="1" applyBorder="1" applyAlignment="1"/>
    <xf numFmtId="0" fontId="0" fillId="0" borderId="14" xfId="0" applyBorder="1" applyAlignment="1">
      <alignment horizontal="center" vertical="center" wrapText="1"/>
    </xf>
    <xf numFmtId="0" fontId="1" fillId="0" borderId="14" xfId="0" applyFont="1" applyBorder="1" applyAlignment="1">
      <alignment horizontal="center" vertical="center" wrapText="1"/>
    </xf>
    <xf numFmtId="0" fontId="0" fillId="0" borderId="37" xfId="0" applyBorder="1" applyAlignment="1">
      <alignment horizontal="center"/>
    </xf>
    <xf numFmtId="0" fontId="0" fillId="0" borderId="40" xfId="0" quotePrefix="1" applyBorder="1" applyAlignment="1">
      <alignment horizontal="center"/>
    </xf>
    <xf numFmtId="0" fontId="0" fillId="0" borderId="35" xfId="0" applyBorder="1" applyAlignment="1"/>
    <xf numFmtId="0" fontId="0" fillId="0" borderId="23" xfId="0" quotePrefix="1" applyBorder="1" applyAlignment="1">
      <alignment horizontal="center"/>
    </xf>
    <xf numFmtId="0" fontId="0" fillId="0" borderId="35" xfId="0" quotePrefix="1" applyBorder="1" applyAlignment="1">
      <alignment horizontal="center"/>
    </xf>
    <xf numFmtId="0" fontId="0" fillId="0" borderId="42" xfId="0" quotePrefix="1" applyBorder="1" applyAlignment="1">
      <alignment horizontal="center"/>
    </xf>
    <xf numFmtId="0" fontId="0" fillId="0" borderId="39" xfId="0" quotePrefix="1" applyBorder="1" applyAlignment="1">
      <alignment horizontal="center"/>
    </xf>
    <xf numFmtId="0" fontId="0" fillId="0" borderId="15" xfId="0" quotePrefix="1" applyBorder="1" applyAlignment="1">
      <alignment horizontal="center"/>
    </xf>
    <xf numFmtId="0" fontId="0" fillId="0" borderId="14" xfId="0" quotePrefix="1" applyFill="1" applyBorder="1" applyAlignment="1">
      <alignment horizontal="center"/>
    </xf>
    <xf numFmtId="0" fontId="0" fillId="0" borderId="5" xfId="0" applyBorder="1" applyAlignment="1">
      <alignment wrapText="1"/>
    </xf>
    <xf numFmtId="0" fontId="0" fillId="0" borderId="18" xfId="0" applyBorder="1" applyAlignment="1">
      <alignment wrapText="1"/>
    </xf>
    <xf numFmtId="0" fontId="0" fillId="0" borderId="9" xfId="0" quotePrefix="1" applyFill="1" applyBorder="1" applyAlignment="1">
      <alignment horizontal="center"/>
    </xf>
    <xf numFmtId="0" fontId="0" fillId="0" borderId="18" xfId="0" applyFill="1" applyBorder="1" applyAlignment="1"/>
    <xf numFmtId="164" fontId="0" fillId="0" borderId="9" xfId="0" applyNumberFormat="1" applyFill="1" applyBorder="1" applyAlignment="1">
      <alignment horizontal="center"/>
    </xf>
    <xf numFmtId="164" fontId="0" fillId="0" borderId="18" xfId="0" applyNumberFormat="1" applyFill="1" applyBorder="1" applyAlignment="1"/>
    <xf numFmtId="164" fontId="0" fillId="0" borderId="18" xfId="0" applyNumberFormat="1" applyFill="1" applyBorder="1" applyAlignment="1">
      <alignment horizontal="center"/>
    </xf>
    <xf numFmtId="164" fontId="0" fillId="7" borderId="9" xfId="0" applyNumberFormat="1" applyFill="1" applyBorder="1" applyAlignment="1">
      <alignment horizontal="center"/>
    </xf>
    <xf numFmtId="164" fontId="0" fillId="7" borderId="5" xfId="0" applyNumberFormat="1" applyFill="1" applyBorder="1" applyAlignment="1">
      <alignment horizontal="center"/>
    </xf>
    <xf numFmtId="164" fontId="0" fillId="0" borderId="14" xfId="0" applyNumberFormat="1" applyBorder="1" applyAlignment="1">
      <alignment horizontal="center"/>
    </xf>
    <xf numFmtId="164" fontId="0" fillId="0" borderId="19" xfId="0" applyNumberFormat="1" applyBorder="1" applyAlignment="1">
      <alignment horizontal="center"/>
    </xf>
    <xf numFmtId="0" fontId="3" fillId="0" borderId="14" xfId="0" applyFont="1" applyBorder="1" applyAlignment="1">
      <alignment horizontal="center" vertical="top" wrapText="1"/>
    </xf>
    <xf numFmtId="0" fontId="3" fillId="0" borderId="19" xfId="0" applyFont="1" applyBorder="1" applyAlignment="1">
      <alignment horizontal="center" vertical="top" wrapText="1"/>
    </xf>
    <xf numFmtId="0" fontId="3" fillId="0" borderId="17" xfId="0" applyFont="1" applyBorder="1" applyAlignment="1">
      <alignment horizontal="center" vertical="top" wrapText="1"/>
    </xf>
    <xf numFmtId="0" fontId="0" fillId="0" borderId="19" xfId="0" applyBorder="1" applyAlignment="1">
      <alignment horizontal="center" vertical="center" wrapText="1"/>
    </xf>
    <xf numFmtId="0" fontId="0" fillId="0" borderId="19"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0" xfId="0" applyBorder="1"/>
    <xf numFmtId="0" fontId="0" fillId="0" borderId="38" xfId="0" applyBorder="1"/>
    <xf numFmtId="0" fontId="0" fillId="0" borderId="9" xfId="0" quotePrefix="1" applyBorder="1" applyAlignment="1">
      <alignment horizontal="center"/>
    </xf>
    <xf numFmtId="0" fontId="0" fillId="0" borderId="18" xfId="0" quotePrefix="1" applyBorder="1" applyAlignment="1">
      <alignment horizontal="center"/>
    </xf>
    <xf numFmtId="0" fontId="0" fillId="0" borderId="13" xfId="0" applyBorder="1"/>
    <xf numFmtId="0" fontId="0" fillId="0" borderId="36" xfId="0" applyBorder="1"/>
    <xf numFmtId="0" fontId="0" fillId="0" borderId="17" xfId="0" applyBorder="1"/>
    <xf numFmtId="0" fontId="0" fillId="0" borderId="19" xfId="0" applyBorder="1"/>
    <xf numFmtId="0" fontId="0" fillId="0" borderId="13" xfId="0" quotePrefix="1" applyBorder="1" applyAlignment="1">
      <alignment horizontal="center"/>
    </xf>
    <xf numFmtId="0" fontId="0" fillId="0" borderId="36" xfId="0" applyBorder="1" applyAlignment="1"/>
    <xf numFmtId="0" fontId="0" fillId="0" borderId="9" xfId="0" applyBorder="1" applyAlignment="1">
      <alignment horizontal="center"/>
    </xf>
    <xf numFmtId="0" fontId="0" fillId="0" borderId="41" xfId="0" quotePrefix="1" applyBorder="1" applyAlignment="1">
      <alignment horizontal="center"/>
    </xf>
    <xf numFmtId="0" fontId="3" fillId="0" borderId="27" xfId="0"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xf numFmtId="0" fontId="0" fillId="0" borderId="40" xfId="0" applyBorder="1" applyAlignment="1">
      <alignment horizontal="left"/>
    </xf>
    <xf numFmtId="0" fontId="0" fillId="0" borderId="35" xfId="0" applyBorder="1" applyAlignment="1">
      <alignment horizontal="left"/>
    </xf>
    <xf numFmtId="164" fontId="0" fillId="0" borderId="23" xfId="0" applyNumberFormat="1" applyBorder="1" applyAlignment="1">
      <alignment horizontal="center"/>
    </xf>
    <xf numFmtId="164" fontId="0" fillId="0" borderId="35" xfId="0" applyNumberFormat="1" applyBorder="1" applyAlignment="1">
      <alignment horizontal="center"/>
    </xf>
    <xf numFmtId="0" fontId="0" fillId="0" borderId="23" xfId="0" applyBorder="1" applyAlignment="1">
      <alignment horizontal="center"/>
    </xf>
    <xf numFmtId="0" fontId="0" fillId="0" borderId="35" xfId="0" applyBorder="1" applyAlignment="1">
      <alignment horizontal="center"/>
    </xf>
    <xf numFmtId="164" fontId="0" fillId="0" borderId="40" xfId="0" applyNumberFormat="1" applyBorder="1" applyAlignment="1">
      <alignment horizontal="center"/>
    </xf>
    <xf numFmtId="164" fontId="0" fillId="0" borderId="17" xfId="0" applyNumberFormat="1" applyBorder="1" applyAlignment="1">
      <alignment horizontal="center"/>
    </xf>
    <xf numFmtId="0" fontId="0" fillId="0" borderId="5" xfId="0" applyBorder="1"/>
    <xf numFmtId="0" fontId="0" fillId="0" borderId="18" xfId="0" applyBorder="1"/>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5" xfId="0" applyNumberFormat="1" applyBorder="1" applyAlignment="1">
      <alignment horizontal="center"/>
    </xf>
    <xf numFmtId="0" fontId="0" fillId="0" borderId="15" xfId="0" applyBorder="1" applyAlignment="1"/>
    <xf numFmtId="0" fontId="0" fillId="0" borderId="39" xfId="0" applyBorder="1" applyAlignment="1"/>
    <xf numFmtId="0" fontId="1" fillId="0" borderId="5" xfId="0" applyFont="1" applyBorder="1"/>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7" borderId="14"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9" xfId="0" applyFont="1" applyFill="1" applyBorder="1" applyAlignment="1">
      <alignment horizontal="center" vertical="top" wrapText="1"/>
    </xf>
    <xf numFmtId="0" fontId="0" fillId="7" borderId="14" xfId="0" quotePrefix="1" applyFill="1" applyBorder="1" applyAlignment="1">
      <alignment horizontal="center"/>
    </xf>
    <xf numFmtId="0" fontId="0" fillId="7" borderId="17" xfId="0" quotePrefix="1" applyFill="1" applyBorder="1" applyAlignment="1">
      <alignment horizontal="center"/>
    </xf>
    <xf numFmtId="0" fontId="0" fillId="7" borderId="19" xfId="0" quotePrefix="1" applyFill="1" applyBorder="1" applyAlignment="1">
      <alignment horizontal="center"/>
    </xf>
    <xf numFmtId="0" fontId="0" fillId="0" borderId="17" xfId="0" quotePrefix="1" applyBorder="1" applyAlignment="1">
      <alignment horizontal="center"/>
    </xf>
    <xf numFmtId="0" fontId="0" fillId="0" borderId="0" xfId="0" quotePrefix="1" applyBorder="1" applyAlignment="1">
      <alignment horizontal="center"/>
    </xf>
    <xf numFmtId="0" fontId="0" fillId="0" borderId="38" xfId="0" quotePrefix="1" applyBorder="1" applyAlignment="1">
      <alignment horizontal="center"/>
    </xf>
    <xf numFmtId="0" fontId="0" fillId="0" borderId="8" xfId="0" quotePrefix="1" applyBorder="1" applyAlignment="1">
      <alignment horizontal="center"/>
    </xf>
    <xf numFmtId="0" fontId="0" fillId="7" borderId="8" xfId="0" quotePrefix="1" applyFill="1" applyBorder="1" applyAlignment="1">
      <alignment horizontal="center"/>
    </xf>
    <xf numFmtId="0" fontId="0" fillId="7" borderId="0" xfId="0" quotePrefix="1" applyFill="1" applyBorder="1" applyAlignment="1">
      <alignment horizontal="center"/>
    </xf>
    <xf numFmtId="0" fontId="0" fillId="7" borderId="38" xfId="0" quotePrefix="1" applyFill="1" applyBorder="1" applyAlignment="1">
      <alignment horizontal="center"/>
    </xf>
    <xf numFmtId="0" fontId="0" fillId="0" borderId="5" xfId="0" applyBorder="1" applyAlignment="1">
      <alignment horizontal="left"/>
    </xf>
    <xf numFmtId="0" fontId="0" fillId="0" borderId="18" xfId="0" applyBorder="1" applyAlignment="1">
      <alignment horizontal="left"/>
    </xf>
    <xf numFmtId="0" fontId="0" fillId="0" borderId="5" xfId="0" applyFill="1" applyBorder="1" applyAlignment="1">
      <alignment horizontal="center"/>
    </xf>
    <xf numFmtId="0" fontId="0" fillId="0" borderId="18" xfId="0" applyFill="1" applyBorder="1" applyAlignment="1">
      <alignment horizontal="center"/>
    </xf>
    <xf numFmtId="166" fontId="0" fillId="7" borderId="9" xfId="0" applyNumberFormat="1" applyFill="1" applyBorder="1" applyAlignment="1">
      <alignment horizontal="center"/>
    </xf>
    <xf numFmtId="166" fontId="0" fillId="7" borderId="5" xfId="0" applyNumberFormat="1" applyFill="1" applyBorder="1" applyAlignment="1">
      <alignment horizontal="center"/>
    </xf>
    <xf numFmtId="166" fontId="0" fillId="7" borderId="18" xfId="0" applyNumberFormat="1" applyFill="1" applyBorder="1" applyAlignment="1">
      <alignment horizontal="center"/>
    </xf>
    <xf numFmtId="0" fontId="0" fillId="0" borderId="9" xfId="0" applyFill="1" applyBorder="1" applyAlignment="1">
      <alignment horizontal="center"/>
    </xf>
    <xf numFmtId="166" fontId="0" fillId="0" borderId="9" xfId="0" applyNumberFormat="1" applyFill="1" applyBorder="1" applyAlignment="1">
      <alignment horizontal="center"/>
    </xf>
    <xf numFmtId="166" fontId="0" fillId="0" borderId="5" xfId="0" applyNumberFormat="1" applyFill="1" applyBorder="1" applyAlignment="1">
      <alignment horizontal="center"/>
    </xf>
    <xf numFmtId="0" fontId="0" fillId="0" borderId="17" xfId="0" applyBorder="1" applyAlignment="1">
      <alignment horizontal="left"/>
    </xf>
    <xf numFmtId="0" fontId="0" fillId="0" borderId="19" xfId="0" applyBorder="1" applyAlignment="1">
      <alignment horizontal="left"/>
    </xf>
    <xf numFmtId="0" fontId="0" fillId="0" borderId="17" xfId="0" applyFill="1" applyBorder="1" applyAlignment="1">
      <alignment horizontal="center"/>
    </xf>
    <xf numFmtId="0" fontId="0" fillId="0" borderId="19" xfId="0" applyFill="1" applyBorder="1" applyAlignment="1">
      <alignment horizontal="center"/>
    </xf>
    <xf numFmtId="166" fontId="0" fillId="7" borderId="14" xfId="0" applyNumberFormat="1" applyFill="1" applyBorder="1" applyAlignment="1">
      <alignment horizontal="center"/>
    </xf>
    <xf numFmtId="166" fontId="0" fillId="7" borderId="17" xfId="0" applyNumberFormat="1" applyFill="1" applyBorder="1" applyAlignment="1">
      <alignment horizontal="center"/>
    </xf>
    <xf numFmtId="166" fontId="0" fillId="7" borderId="19" xfId="0" applyNumberFormat="1" applyFill="1" applyBorder="1" applyAlignment="1">
      <alignment horizontal="center"/>
    </xf>
    <xf numFmtId="0" fontId="0" fillId="0" borderId="14" xfId="0" applyFill="1" applyBorder="1" applyAlignment="1">
      <alignment horizontal="center"/>
    </xf>
    <xf numFmtId="166" fontId="0" fillId="0" borderId="14" xfId="0" applyNumberFormat="1" applyFill="1" applyBorder="1" applyAlignment="1">
      <alignment horizontal="center"/>
    </xf>
    <xf numFmtId="166" fontId="0" fillId="0" borderId="17" xfId="0" applyNumberFormat="1" applyFill="1" applyBorder="1" applyAlignment="1">
      <alignment horizontal="center"/>
    </xf>
    <xf numFmtId="0" fontId="1" fillId="7" borderId="39" xfId="0" quotePrefix="1" applyFont="1" applyFill="1" applyBorder="1" applyAlignment="1">
      <alignment horizontal="center"/>
    </xf>
    <xf numFmtId="0" fontId="0" fillId="7" borderId="53" xfId="0" applyFill="1" applyBorder="1" applyAlignment="1">
      <alignment horizontal="center"/>
    </xf>
    <xf numFmtId="2" fontId="0" fillId="7" borderId="27" xfId="0" applyNumberFormat="1" applyFill="1" applyBorder="1" applyAlignment="1">
      <alignment horizontal="center"/>
    </xf>
    <xf numFmtId="2" fontId="0" fillId="7" borderId="54" xfId="0" applyNumberFormat="1" applyFill="1" applyBorder="1" applyAlignment="1">
      <alignment horizontal="center"/>
    </xf>
    <xf numFmtId="0" fontId="1" fillId="0" borderId="0" xfId="0" applyFont="1" applyFill="1" applyBorder="1" applyAlignment="1">
      <alignment horizontal="center" vertical="top" wrapText="1"/>
    </xf>
    <xf numFmtId="0" fontId="0" fillId="0" borderId="38" xfId="0"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0" fillId="0" borderId="22" xfId="0" applyBorder="1" applyAlignment="1">
      <alignment horizontal="center" vertical="top" wrapText="1"/>
    </xf>
    <xf numFmtId="0" fontId="0" fillId="0" borderId="43" xfId="0" applyBorder="1" applyAlignment="1">
      <alignment horizontal="center" vertical="top" wrapText="1"/>
    </xf>
    <xf numFmtId="0" fontId="1" fillId="0" borderId="8" xfId="0" applyFont="1" applyFill="1" applyBorder="1" applyAlignment="1">
      <alignment horizontal="center" vertical="top" wrapText="1"/>
    </xf>
    <xf numFmtId="0" fontId="0" fillId="0" borderId="8" xfId="0" applyBorder="1" applyAlignment="1">
      <alignment horizontal="center" vertical="top" wrapText="1"/>
    </xf>
    <xf numFmtId="0" fontId="0" fillId="0" borderId="44" xfId="0" applyBorder="1" applyAlignment="1">
      <alignment horizontal="center" vertical="top" wrapText="1"/>
    </xf>
    <xf numFmtId="0" fontId="1" fillId="0" borderId="3" xfId="0" applyFont="1" applyFill="1" applyBorder="1" applyAlignment="1">
      <alignment horizontal="center" wrapText="1"/>
    </xf>
    <xf numFmtId="0" fontId="0" fillId="0" borderId="3" xfId="0" applyBorder="1" applyAlignment="1">
      <alignment horizontal="center" wrapText="1"/>
    </xf>
    <xf numFmtId="0" fontId="1" fillId="0" borderId="3" xfId="0" quotePrefix="1" applyFont="1" applyFill="1" applyBorder="1" applyAlignment="1">
      <alignment horizontal="center" vertical="center" wrapText="1"/>
    </xf>
    <xf numFmtId="0" fontId="0" fillId="0" borderId="3" xfId="0" applyBorder="1" applyAlignment="1">
      <alignment horizontal="center" vertical="center" wrapText="1"/>
    </xf>
    <xf numFmtId="0" fontId="1" fillId="0" borderId="21" xfId="0" quotePrefix="1" applyFont="1" applyFill="1" applyBorder="1" applyAlignment="1">
      <alignment horizontal="center"/>
    </xf>
    <xf numFmtId="0" fontId="0" fillId="0" borderId="21" xfId="0" applyBorder="1" applyAlignment="1">
      <alignment horizontal="center"/>
    </xf>
    <xf numFmtId="2" fontId="0" fillId="7" borderId="31" xfId="0" applyNumberFormat="1" applyFill="1" applyBorder="1" applyAlignment="1">
      <alignment horizontal="center"/>
    </xf>
    <xf numFmtId="2" fontId="0" fillId="7" borderId="42" xfId="0" applyNumberFormat="1" applyFill="1" applyBorder="1" applyAlignment="1">
      <alignment horizontal="center"/>
    </xf>
    <xf numFmtId="2" fontId="0" fillId="7" borderId="15" xfId="0" applyNumberFormat="1" applyFill="1" applyBorder="1" applyAlignment="1">
      <alignment horizontal="center"/>
    </xf>
    <xf numFmtId="0" fontId="0" fillId="7" borderId="15" xfId="0" applyFill="1" applyBorder="1" applyAlignment="1"/>
    <xf numFmtId="0" fontId="1" fillId="0" borderId="35" xfId="0" quotePrefix="1" applyFont="1" applyFill="1" applyBorder="1" applyAlignment="1">
      <alignment horizontal="center"/>
    </xf>
    <xf numFmtId="2" fontId="0" fillId="0" borderId="15" xfId="0" applyNumberFormat="1" applyFill="1" applyBorder="1" applyAlignment="1">
      <alignment horizontal="center"/>
    </xf>
    <xf numFmtId="0" fontId="0" fillId="0" borderId="15" xfId="0" applyFill="1" applyBorder="1" applyAlignment="1"/>
    <xf numFmtId="0" fontId="1" fillId="0" borderId="4" xfId="0" applyFont="1" applyFill="1" applyBorder="1" applyAlignment="1">
      <alignment horizontal="center" wrapText="1"/>
    </xf>
    <xf numFmtId="0" fontId="0" fillId="0" borderId="3" xfId="0" applyBorder="1"/>
    <xf numFmtId="0" fontId="0" fillId="0" borderId="4" xfId="0" applyBorder="1" applyAlignment="1">
      <alignment horizontal="center" wrapText="1"/>
    </xf>
    <xf numFmtId="0" fontId="1" fillId="7" borderId="3" xfId="0" applyFont="1" applyFill="1" applyBorder="1" applyAlignment="1">
      <alignment horizontal="center" wrapText="1"/>
    </xf>
    <xf numFmtId="0" fontId="0" fillId="7" borderId="3" xfId="0" applyFill="1" applyBorder="1" applyAlignment="1">
      <alignment horizontal="center" wrapText="1"/>
    </xf>
    <xf numFmtId="0" fontId="1" fillId="7" borderId="53" xfId="0" quotePrefix="1" applyFont="1" applyFill="1" applyBorder="1" applyAlignment="1">
      <alignment horizontal="center"/>
    </xf>
    <xf numFmtId="0" fontId="0" fillId="7" borderId="3" xfId="0" quotePrefix="1" applyFill="1" applyBorder="1" applyAlignment="1">
      <alignment horizontal="center"/>
    </xf>
    <xf numFmtId="0" fontId="0" fillId="7" borderId="3" xfId="0" applyFill="1" applyBorder="1" applyAlignment="1"/>
    <xf numFmtId="0" fontId="0" fillId="7" borderId="1" xfId="0" quotePrefix="1" applyFill="1" applyBorder="1" applyAlignment="1">
      <alignment horizontal="center"/>
    </xf>
    <xf numFmtId="0" fontId="0" fillId="7" borderId="1" xfId="0" applyFill="1" applyBorder="1" applyAlignment="1"/>
    <xf numFmtId="164" fontId="0" fillId="7" borderId="3" xfId="0" applyNumberFormat="1" applyFill="1" applyBorder="1" applyAlignment="1">
      <alignment horizontal="center" vertical="top"/>
    </xf>
    <xf numFmtId="0" fontId="1" fillId="0" borderId="19" xfId="0" applyFont="1" applyFill="1" applyBorder="1" applyAlignment="1">
      <alignment horizontal="left" vertical="top"/>
    </xf>
    <xf numFmtId="0" fontId="0" fillId="0" borderId="3" xfId="0" applyBorder="1" applyAlignment="1">
      <alignment horizontal="left" vertical="top"/>
    </xf>
    <xf numFmtId="164" fontId="0" fillId="0" borderId="14" xfId="0" applyNumberFormat="1" applyFill="1" applyBorder="1" applyAlignment="1">
      <alignment horizontal="center" vertical="top"/>
    </xf>
    <xf numFmtId="164" fontId="0" fillId="0" borderId="19" xfId="0" applyNumberFormat="1" applyFill="1" applyBorder="1" applyAlignment="1">
      <alignment horizontal="center" vertical="top"/>
    </xf>
    <xf numFmtId="0" fontId="3" fillId="0" borderId="2" xfId="0" applyFont="1" applyBorder="1" applyAlignment="1">
      <alignment horizontal="center" vertical="top" wrapText="1"/>
    </xf>
    <xf numFmtId="0" fontId="0" fillId="0" borderId="10"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44" xfId="0" applyBorder="1" applyAlignment="1">
      <alignment wrapText="1"/>
    </xf>
    <xf numFmtId="164" fontId="0" fillId="0" borderId="9" xfId="0" applyNumberFormat="1" applyFill="1" applyBorder="1" applyAlignment="1">
      <alignment horizontal="center" vertical="top"/>
    </xf>
    <xf numFmtId="164" fontId="0" fillId="0" borderId="18" xfId="0" applyNumberFormat="1" applyFill="1" applyBorder="1" applyAlignment="1">
      <alignment horizontal="center" vertical="top"/>
    </xf>
    <xf numFmtId="164" fontId="0" fillId="7" borderId="9" xfId="0" applyNumberFormat="1" applyFill="1" applyBorder="1" applyAlignment="1">
      <alignment horizontal="center" vertical="top"/>
    </xf>
    <xf numFmtId="164" fontId="0" fillId="7" borderId="5" xfId="0" applyNumberFormat="1" applyFill="1" applyBorder="1" applyAlignment="1">
      <alignment horizontal="center" vertical="top"/>
    </xf>
    <xf numFmtId="164" fontId="0" fillId="7" borderId="14" xfId="0" applyNumberFormat="1" applyFill="1" applyBorder="1" applyAlignment="1">
      <alignment horizontal="center" vertical="top"/>
    </xf>
    <xf numFmtId="164" fontId="0" fillId="7" borderId="17" xfId="0" applyNumberFormat="1" applyFill="1" applyBorder="1" applyAlignment="1">
      <alignment horizontal="center" vertical="top"/>
    </xf>
    <xf numFmtId="0" fontId="1" fillId="7" borderId="21" xfId="0" quotePrefix="1" applyFont="1" applyFill="1" applyBorder="1" applyAlignment="1">
      <alignment horizontal="center"/>
    </xf>
    <xf numFmtId="0" fontId="0" fillId="7" borderId="21" xfId="0" applyFill="1" applyBorder="1" applyAlignment="1">
      <alignment horizontal="center"/>
    </xf>
    <xf numFmtId="0" fontId="0" fillId="7" borderId="23" xfId="0" applyFill="1" applyBorder="1" applyAlignment="1">
      <alignment horizontal="center"/>
    </xf>
    <xf numFmtId="0" fontId="0" fillId="0" borderId="3" xfId="0" applyBorder="1" applyAlignment="1">
      <alignment horizontal="left"/>
    </xf>
    <xf numFmtId="0" fontId="0" fillId="0" borderId="3" xfId="0" applyBorder="1" applyAlignment="1"/>
    <xf numFmtId="0" fontId="0" fillId="0" borderId="1" xfId="0" applyBorder="1" applyAlignment="1">
      <alignment horizontal="left"/>
    </xf>
    <xf numFmtId="0" fontId="0" fillId="0" borderId="1" xfId="0" applyBorder="1" applyAlignment="1"/>
    <xf numFmtId="0" fontId="1" fillId="7" borderId="3" xfId="0" quotePrefix="1" applyFont="1" applyFill="1" applyBorder="1" applyAlignment="1">
      <alignment horizontal="center"/>
    </xf>
    <xf numFmtId="0" fontId="0" fillId="7" borderId="14" xfId="0" applyFill="1" applyBorder="1" applyAlignment="1"/>
    <xf numFmtId="0" fontId="3" fillId="0" borderId="3" xfId="0" applyFont="1" applyBorder="1" applyAlignment="1">
      <alignment horizontal="center" vertical="top" wrapText="1"/>
    </xf>
    <xf numFmtId="0" fontId="0" fillId="0" borderId="19"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xf>
    <xf numFmtId="0" fontId="3" fillId="0" borderId="3" xfId="0" applyFont="1" applyBorder="1" applyAlignment="1">
      <alignment horizontal="center"/>
    </xf>
    <xf numFmtId="0" fontId="1" fillId="0" borderId="3" xfId="0" quotePrefix="1" applyFont="1" applyBorder="1" applyAlignment="1">
      <alignment horizontal="center"/>
    </xf>
    <xf numFmtId="0" fontId="3" fillId="7" borderId="3" xfId="0" applyFont="1" applyFill="1" applyBorder="1" applyAlignment="1">
      <alignment horizontal="center"/>
    </xf>
    <xf numFmtId="0" fontId="3" fillId="7" borderId="14" xfId="0" applyFont="1" applyFill="1" applyBorder="1" applyAlignment="1">
      <alignment horizontal="center"/>
    </xf>
    <xf numFmtId="0" fontId="1" fillId="0" borderId="18" xfId="0" applyFont="1" applyFill="1" applyBorder="1" applyAlignment="1">
      <alignment horizontal="left" vertical="top"/>
    </xf>
    <xf numFmtId="0" fontId="0" fillId="0" borderId="1" xfId="0" applyBorder="1" applyAlignment="1">
      <alignment horizontal="left" vertical="top"/>
    </xf>
    <xf numFmtId="0" fontId="0" fillId="0" borderId="21" xfId="0" quotePrefix="1" applyBorder="1" applyAlignment="1">
      <alignment horizontal="center"/>
    </xf>
    <xf numFmtId="0" fontId="0" fillId="0" borderId="21" xfId="0" applyBorder="1" applyAlignment="1"/>
    <xf numFmtId="0" fontId="1" fillId="0" borderId="21" xfId="0" quotePrefix="1" applyFont="1" applyBorder="1" applyAlignment="1">
      <alignment horizontal="center"/>
    </xf>
    <xf numFmtId="0" fontId="1" fillId="7" borderId="10" xfId="0" applyFont="1" applyFill="1" applyBorder="1" applyAlignment="1">
      <alignment horizontal="center"/>
    </xf>
    <xf numFmtId="0" fontId="0" fillId="7" borderId="8" xfId="0" applyFill="1" applyBorder="1" applyAlignment="1">
      <alignment horizontal="center"/>
    </xf>
    <xf numFmtId="0" fontId="0" fillId="7" borderId="10" xfId="0" applyFill="1" applyBorder="1" applyAlignment="1">
      <alignment horizontal="center"/>
    </xf>
    <xf numFmtId="2" fontId="0" fillId="7" borderId="27" xfId="0" applyNumberFormat="1" applyFill="1" applyBorder="1" applyAlignment="1"/>
    <xf numFmtId="2" fontId="0" fillId="7" borderId="54" xfId="0" applyNumberFormat="1" applyFill="1" applyBorder="1" applyAlignment="1"/>
    <xf numFmtId="2" fontId="0" fillId="0" borderId="14" xfId="0" applyNumberFormat="1" applyFill="1" applyBorder="1" applyAlignment="1">
      <alignment horizontal="center" vertical="top"/>
    </xf>
    <xf numFmtId="0" fontId="0" fillId="0" borderId="19" xfId="0" applyFill="1" applyBorder="1" applyAlignment="1">
      <alignment horizontal="center" vertical="top"/>
    </xf>
    <xf numFmtId="0" fontId="1" fillId="7" borderId="10" xfId="0" quotePrefix="1" applyFont="1" applyFill="1" applyBorder="1" applyAlignment="1">
      <alignment horizontal="center"/>
    </xf>
    <xf numFmtId="2" fontId="0" fillId="0" borderId="9" xfId="0" applyNumberFormat="1" applyFill="1" applyBorder="1" applyAlignment="1">
      <alignment horizontal="center" vertical="top"/>
    </xf>
    <xf numFmtId="0" fontId="0" fillId="0" borderId="18" xfId="0" applyFill="1" applyBorder="1" applyAlignment="1">
      <alignment horizontal="center" vertical="top"/>
    </xf>
    <xf numFmtId="0" fontId="1" fillId="7" borderId="4" xfId="0" applyFont="1" applyFill="1" applyBorder="1" applyAlignment="1">
      <alignment horizontal="center" wrapText="1"/>
    </xf>
    <xf numFmtId="0" fontId="0" fillId="7" borderId="44" xfId="0" applyFill="1" applyBorder="1" applyAlignment="1">
      <alignment horizontal="center" wrapText="1"/>
    </xf>
    <xf numFmtId="0" fontId="0" fillId="7" borderId="14" xfId="0" applyFill="1" applyBorder="1" applyAlignment="1">
      <alignment horizontal="center" wrapText="1"/>
    </xf>
    <xf numFmtId="0" fontId="1" fillId="7" borderId="3" xfId="0" quotePrefix="1" applyFont="1" applyFill="1" applyBorder="1" applyAlignment="1">
      <alignment horizontal="center" vertical="center" wrapText="1"/>
    </xf>
    <xf numFmtId="0" fontId="0" fillId="7" borderId="14" xfId="0" applyFill="1" applyBorder="1" applyAlignment="1">
      <alignment horizontal="center" vertical="center" wrapText="1"/>
    </xf>
    <xf numFmtId="0" fontId="0" fillId="7" borderId="3" xfId="0" applyFill="1" applyBorder="1" applyAlignment="1">
      <alignment horizontal="center" vertical="center" wrapText="1"/>
    </xf>
    <xf numFmtId="0" fontId="1" fillId="0" borderId="2" xfId="0" quotePrefix="1" applyFont="1" applyBorder="1" applyAlignment="1">
      <alignment horizontal="center" vertical="center" wrapText="1"/>
    </xf>
    <xf numFmtId="0" fontId="0" fillId="0" borderId="7" xfId="0" quotePrefix="1" applyBorder="1" applyAlignment="1">
      <alignment horizontal="center" vertical="center" wrapText="1"/>
    </xf>
    <xf numFmtId="0" fontId="1" fillId="0" borderId="2" xfId="0" applyFont="1" applyBorder="1" applyAlignment="1">
      <alignment horizontal="center" vertical="center" wrapText="1"/>
    </xf>
    <xf numFmtId="0" fontId="0" fillId="0" borderId="2" xfId="0" quotePrefix="1" applyBorder="1" applyAlignment="1">
      <alignment horizontal="center" vertical="center" wrapText="1"/>
    </xf>
    <xf numFmtId="0" fontId="0" fillId="0" borderId="2" xfId="0" applyBorder="1" applyAlignment="1">
      <alignment horizontal="center" vertical="center" wrapText="1"/>
    </xf>
    <xf numFmtId="0" fontId="0" fillId="7" borderId="42" xfId="0" applyFill="1" applyBorder="1" applyAlignment="1">
      <alignment horizontal="center"/>
    </xf>
    <xf numFmtId="0" fontId="3" fillId="0" borderId="29" xfId="0" applyFont="1" applyBorder="1" applyAlignment="1">
      <alignment horizontal="center" vertical="top" wrapText="1"/>
    </xf>
    <xf numFmtId="0" fontId="3" fillId="0" borderId="38" xfId="0" applyFont="1" applyBorder="1" applyAlignment="1">
      <alignment horizontal="center" vertical="top" wrapText="1"/>
    </xf>
    <xf numFmtId="0" fontId="3" fillId="0" borderId="10" xfId="0" applyFont="1" applyBorder="1" applyAlignment="1">
      <alignment horizontal="center" vertical="top" wrapText="1"/>
    </xf>
    <xf numFmtId="0" fontId="0" fillId="0" borderId="38" xfId="0" applyBorder="1" applyAlignment="1">
      <alignment wrapText="1"/>
    </xf>
    <xf numFmtId="0" fontId="0" fillId="0" borderId="43" xfId="0" applyBorder="1" applyAlignment="1">
      <alignment wrapText="1"/>
    </xf>
    <xf numFmtId="0" fontId="1"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1" fillId="7" borderId="38" xfId="0" applyFont="1" applyFill="1" applyBorder="1" applyAlignment="1">
      <alignment horizontal="center"/>
    </xf>
    <xf numFmtId="2" fontId="0" fillId="0" borderId="15" xfId="0" applyNumberFormat="1" applyFill="1" applyBorder="1" applyAlignment="1"/>
    <xf numFmtId="0" fontId="1" fillId="0" borderId="17" xfId="0" applyFont="1" applyBorder="1" applyAlignment="1"/>
    <xf numFmtId="0" fontId="1" fillId="2" borderId="14" xfId="0" applyFont="1" applyFill="1" applyBorder="1" applyAlignment="1">
      <alignment horizontal="center"/>
    </xf>
    <xf numFmtId="0" fontId="1" fillId="0" borderId="45" xfId="0" applyFont="1" applyBorder="1" applyAlignment="1"/>
    <xf numFmtId="2" fontId="0" fillId="0" borderId="47" xfId="0" applyNumberFormat="1" applyBorder="1" applyAlignment="1">
      <alignment horizontal="center"/>
    </xf>
    <xf numFmtId="2" fontId="0" fillId="0" borderId="46" xfId="0" applyNumberFormat="1" applyBorder="1" applyAlignment="1"/>
    <xf numFmtId="0" fontId="1" fillId="0" borderId="14" xfId="0" applyFont="1" applyBorder="1" applyAlignment="1">
      <alignment horizontal="center"/>
    </xf>
    <xf numFmtId="3" fontId="1" fillId="0" borderId="14" xfId="0" applyNumberFormat="1" applyFont="1" applyFill="1" applyBorder="1" applyAlignment="1">
      <alignment horizontal="right"/>
    </xf>
    <xf numFmtId="0" fontId="0" fillId="0" borderId="17" xfId="0" applyFill="1" applyBorder="1" applyAlignment="1">
      <alignment horizontal="right"/>
    </xf>
    <xf numFmtId="0" fontId="0" fillId="2" borderId="7" xfId="0" applyFill="1" applyBorder="1" applyAlignment="1">
      <alignment horizontal="center"/>
    </xf>
    <xf numFmtId="0" fontId="0" fillId="2" borderId="6" xfId="0" applyFill="1" applyBorder="1" applyAlignment="1"/>
    <xf numFmtId="0" fontId="1" fillId="0" borderId="8" xfId="0" applyFont="1" applyBorder="1" applyAlignment="1"/>
    <xf numFmtId="0" fontId="1" fillId="0" borderId="19" xfId="0" applyFont="1" applyFill="1" applyBorder="1" applyAlignment="1">
      <alignment horizontal="left"/>
    </xf>
    <xf numFmtId="0" fontId="1" fillId="0"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1" xfId="0" applyBorder="1" applyAlignment="1">
      <alignment vertical="top" wrapText="1"/>
    </xf>
    <xf numFmtId="0" fontId="3" fillId="0" borderId="40" xfId="0" applyFont="1" applyFill="1" applyBorder="1" applyAlignment="1">
      <alignment horizontal="center"/>
    </xf>
    <xf numFmtId="0" fontId="3" fillId="0" borderId="20"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41" xfId="0" applyFont="1" applyBorder="1" applyAlignment="1">
      <alignment horizontal="center" vertical="top" wrapText="1"/>
    </xf>
    <xf numFmtId="0" fontId="3" fillId="0" borderId="19" xfId="0" applyFont="1" applyFill="1" applyBorder="1" applyAlignment="1">
      <alignment horizontal="left" vertical="top" wrapText="1"/>
    </xf>
    <xf numFmtId="0" fontId="3" fillId="0" borderId="3" xfId="0" applyFont="1" applyBorder="1" applyAlignment="1">
      <alignment vertical="top" wrapText="1"/>
    </xf>
    <xf numFmtId="0" fontId="0" fillId="0" borderId="18" xfId="0" applyBorder="1" applyAlignment="1">
      <alignment vertical="top" wrapText="1"/>
    </xf>
    <xf numFmtId="0" fontId="3" fillId="0" borderId="3" xfId="0" applyFont="1" applyFill="1" applyBorder="1" applyAlignment="1">
      <alignment horizontal="center" wrapText="1"/>
    </xf>
    <xf numFmtId="0" fontId="3" fillId="0" borderId="3" xfId="0" applyFont="1" applyBorder="1" applyAlignment="1">
      <alignment wrapText="1"/>
    </xf>
    <xf numFmtId="0" fontId="0" fillId="0" borderId="3" xfId="0" applyBorder="1" applyAlignment="1">
      <alignment wrapText="1"/>
    </xf>
    <xf numFmtId="0" fontId="3" fillId="0" borderId="3" xfId="0" applyFont="1" applyFill="1" applyBorder="1" applyAlignment="1">
      <alignment horizontal="center" vertical="top" wrapText="1"/>
    </xf>
    <xf numFmtId="0" fontId="3" fillId="0" borderId="14" xfId="0" applyFont="1" applyFill="1" applyBorder="1" applyAlignment="1">
      <alignment horizontal="center" vertical="top" wrapText="1"/>
    </xf>
    <xf numFmtId="0" fontId="0" fillId="0" borderId="14" xfId="0" applyBorder="1" applyAlignment="1">
      <alignment vertical="top" wrapText="1"/>
    </xf>
    <xf numFmtId="0" fontId="1" fillId="0" borderId="14" xfId="0" applyFont="1" applyFill="1" applyBorder="1" applyAlignment="1">
      <alignment horizontal="center" vertical="top" wrapText="1"/>
    </xf>
    <xf numFmtId="0" fontId="0" fillId="0" borderId="9" xfId="0" applyBorder="1" applyAlignment="1">
      <alignment horizontal="center" vertical="top" wrapText="1"/>
    </xf>
    <xf numFmtId="0" fontId="1" fillId="0" borderId="51" xfId="0" applyFont="1" applyFill="1" applyBorder="1" applyAlignment="1">
      <alignment horizontal="left" vertical="center"/>
    </xf>
    <xf numFmtId="0" fontId="0" fillId="0" borderId="16" xfId="0" applyBorder="1" applyAlignment="1">
      <alignment vertical="center"/>
    </xf>
    <xf numFmtId="0" fontId="1" fillId="0" borderId="54" xfId="0" applyFont="1" applyFill="1" applyBorder="1" applyAlignment="1">
      <alignment horizontal="right"/>
    </xf>
    <xf numFmtId="0" fontId="1" fillId="0" borderId="30" xfId="0" applyFont="1" applyFill="1" applyBorder="1" applyAlignment="1">
      <alignment horizontal="right"/>
    </xf>
    <xf numFmtId="0" fontId="1" fillId="0" borderId="62" xfId="0" applyFont="1" applyFill="1" applyBorder="1" applyAlignment="1">
      <alignment horizontal="right" vertical="top"/>
    </xf>
    <xf numFmtId="0" fontId="1" fillId="0" borderId="32" xfId="0" applyFont="1" applyFill="1" applyBorder="1" applyAlignment="1">
      <alignment horizontal="right" vertical="top"/>
    </xf>
    <xf numFmtId="0" fontId="3" fillId="0" borderId="19" xfId="0" applyFont="1" applyFill="1" applyBorder="1" applyAlignment="1">
      <alignment horizontal="left"/>
    </xf>
    <xf numFmtId="164" fontId="1" fillId="0" borderId="3" xfId="0" applyNumberFormat="1" applyFont="1" applyFill="1" applyBorder="1" applyAlignment="1">
      <alignment horizontal="center" wrapText="1"/>
    </xf>
    <xf numFmtId="164" fontId="0" fillId="0" borderId="3" xfId="0" applyNumberFormat="1" applyFill="1" applyBorder="1" applyAlignment="1">
      <alignment horizontal="center" wrapText="1"/>
    </xf>
    <xf numFmtId="164" fontId="0" fillId="0" borderId="14" xfId="0" applyNumberFormat="1" applyFill="1" applyBorder="1" applyAlignment="1">
      <alignment horizontal="center" wrapText="1"/>
    </xf>
    <xf numFmtId="0" fontId="0" fillId="0" borderId="3" xfId="0" applyBorder="1" applyAlignment="1">
      <alignment vertical="top"/>
    </xf>
    <xf numFmtId="0" fontId="0" fillId="0" borderId="19" xfId="0" applyBorder="1" applyAlignment="1">
      <alignment vertical="top"/>
    </xf>
    <xf numFmtId="2" fontId="1" fillId="0"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167" fontId="1" fillId="0" borderId="14" xfId="0" applyNumberFormat="1" applyFont="1" applyFill="1" applyBorder="1" applyAlignment="1">
      <alignment horizontal="center"/>
    </xf>
    <xf numFmtId="0" fontId="1" fillId="0" borderId="17" xfId="0" applyFont="1" applyFill="1" applyBorder="1" applyAlignment="1">
      <alignment horizontal="center"/>
    </xf>
    <xf numFmtId="0" fontId="1" fillId="0" borderId="19" xfId="0" applyFont="1" applyFill="1" applyBorder="1" applyAlignment="1">
      <alignment horizontal="center"/>
    </xf>
    <xf numFmtId="164" fontId="0" fillId="0" borderId="17" xfId="0" applyNumberFormat="1" applyBorder="1" applyAlignment="1"/>
    <xf numFmtId="167" fontId="0" fillId="0" borderId="14"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164" fontId="0" fillId="0" borderId="14" xfId="0" applyNumberFormat="1" applyFill="1" applyBorder="1" applyAlignment="1">
      <alignment horizontal="center" vertical="center"/>
    </xf>
    <xf numFmtId="0" fontId="1" fillId="0" borderId="19" xfId="0" applyFont="1" applyFill="1" applyBorder="1" applyAlignment="1">
      <alignment horizontal="left" vertical="top" wrapText="1"/>
    </xf>
    <xf numFmtId="0" fontId="0" fillId="0" borderId="3" xfId="0" applyBorder="1" applyAlignment="1">
      <alignment horizontal="left" vertical="top" wrapText="1"/>
    </xf>
    <xf numFmtId="0" fontId="0" fillId="0" borderId="18" xfId="0" applyBorder="1" applyAlignment="1">
      <alignment horizontal="left" vertical="top" wrapText="1"/>
    </xf>
    <xf numFmtId="0" fontId="0" fillId="0" borderId="1" xfId="0" applyBorder="1" applyAlignment="1">
      <alignment horizontal="left" vertical="top" wrapText="1"/>
    </xf>
    <xf numFmtId="167" fontId="0" fillId="0" borderId="9" xfId="0" applyNumberFormat="1"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164" fontId="0" fillId="0" borderId="5" xfId="0" applyNumberFormat="1" applyBorder="1" applyAlignment="1"/>
    <xf numFmtId="0" fontId="3" fillId="0" borderId="19" xfId="0" applyFont="1" applyFill="1" applyBorder="1" applyAlignment="1">
      <alignment horizontal="left" vertical="top"/>
    </xf>
    <xf numFmtId="0" fontId="3" fillId="0" borderId="3" xfId="0" applyFont="1" applyBorder="1" applyAlignment="1">
      <alignment vertical="top"/>
    </xf>
    <xf numFmtId="0" fontId="0" fillId="0" borderId="18" xfId="0" applyBorder="1" applyAlignment="1">
      <alignment vertical="top"/>
    </xf>
    <xf numFmtId="0" fontId="0" fillId="0" borderId="1" xfId="0" applyBorder="1" applyAlignment="1">
      <alignment vertical="top"/>
    </xf>
    <xf numFmtId="0" fontId="3" fillId="0" borderId="3" xfId="0" applyFont="1" applyBorder="1" applyAlignment="1">
      <alignment horizontal="center" wrapText="1"/>
    </xf>
    <xf numFmtId="0" fontId="3" fillId="0" borderId="1" xfId="0" applyFont="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wrapText="1"/>
    </xf>
    <xf numFmtId="0" fontId="1" fillId="0" borderId="1" xfId="0" applyFont="1" applyFill="1" applyBorder="1" applyAlignment="1">
      <alignment horizontal="center" wrapText="1"/>
    </xf>
    <xf numFmtId="0" fontId="1" fillId="0" borderId="63" xfId="0" applyFont="1" applyBorder="1" applyAlignment="1">
      <alignment horizontal="right"/>
    </xf>
    <xf numFmtId="0" fontId="0" fillId="0" borderId="62" xfId="0" applyBorder="1" applyAlignment="1">
      <alignment horizontal="right"/>
    </xf>
    <xf numFmtId="167" fontId="0" fillId="0" borderId="17" xfId="0" applyNumberFormat="1" applyFill="1" applyBorder="1" applyAlignment="1">
      <alignment horizontal="center" vertical="center"/>
    </xf>
    <xf numFmtId="167" fontId="0" fillId="0" borderId="19" xfId="0" applyNumberFormat="1" applyFill="1" applyBorder="1" applyAlignment="1">
      <alignment horizontal="center" vertical="center"/>
    </xf>
    <xf numFmtId="167" fontId="0" fillId="0" borderId="17" xfId="0" applyNumberFormat="1" applyBorder="1" applyAlignment="1"/>
    <xf numFmtId="0" fontId="1" fillId="0" borderId="36" xfId="0" applyFont="1" applyFill="1" applyBorder="1" applyAlignment="1">
      <alignment horizontal="left" vertical="center"/>
    </xf>
    <xf numFmtId="0" fontId="0" fillId="0" borderId="12" xfId="0" applyBorder="1" applyAlignment="1">
      <alignment vertical="center"/>
    </xf>
    <xf numFmtId="167" fontId="0" fillId="0" borderId="14" xfId="0" applyNumberFormat="1" applyFill="1" applyBorder="1" applyAlignment="1">
      <alignment horizontal="center"/>
    </xf>
    <xf numFmtId="0" fontId="1" fillId="0" borderId="27" xfId="0" applyFont="1" applyBorder="1" applyAlignment="1">
      <alignment horizontal="right"/>
    </xf>
    <xf numFmtId="0" fontId="1" fillId="0" borderId="28" xfId="0" applyFont="1" applyBorder="1" applyAlignment="1">
      <alignment horizontal="right"/>
    </xf>
    <xf numFmtId="167" fontId="0" fillId="0" borderId="5" xfId="0" applyNumberFormat="1" applyFill="1" applyBorder="1" applyAlignment="1">
      <alignment horizontal="center" vertical="center"/>
    </xf>
    <xf numFmtId="167" fontId="0" fillId="0" borderId="18" xfId="0" applyNumberFormat="1" applyFill="1" applyBorder="1" applyAlignment="1">
      <alignment horizontal="center" vertical="center"/>
    </xf>
    <xf numFmtId="167" fontId="0" fillId="0" borderId="9" xfId="0" applyNumberFormat="1" applyFill="1" applyBorder="1" applyAlignment="1">
      <alignment horizontal="center"/>
    </xf>
    <xf numFmtId="167" fontId="0" fillId="0" borderId="5" xfId="0" applyNumberFormat="1" applyBorder="1" applyAlignment="1"/>
    <xf numFmtId="167" fontId="1" fillId="0" borderId="17" xfId="0" applyNumberFormat="1" applyFont="1" applyFill="1" applyBorder="1" applyAlignment="1">
      <alignment horizontal="center"/>
    </xf>
    <xf numFmtId="167" fontId="1" fillId="0" borderId="19" xfId="0" applyNumberFormat="1" applyFont="1" applyFill="1" applyBorder="1" applyAlignment="1">
      <alignment horizontal="center"/>
    </xf>
    <xf numFmtId="0" fontId="3" fillId="0" borderId="35" xfId="0" applyFont="1" applyBorder="1" applyAlignment="1">
      <alignment horizontal="center" wrapText="1"/>
    </xf>
    <xf numFmtId="0" fontId="3" fillId="0" borderId="19" xfId="0" applyFont="1" applyBorder="1" applyAlignment="1">
      <alignment horizontal="center" wrapText="1"/>
    </xf>
    <xf numFmtId="0" fontId="2"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166" fontId="0" fillId="4" borderId="0" xfId="0" applyNumberFormat="1" applyFill="1" applyAlignment="1">
      <alignment horizontal="center"/>
    </xf>
    <xf numFmtId="166" fontId="0" fillId="0" borderId="5" xfId="0" applyNumberFormat="1" applyBorder="1" applyAlignment="1">
      <alignment horizontal="center"/>
    </xf>
    <xf numFmtId="166" fontId="0" fillId="4" borderId="0" xfId="0" applyNumberFormat="1" applyFill="1" applyBorder="1" applyAlignment="1">
      <alignment horizontal="center"/>
    </xf>
    <xf numFmtId="0" fontId="0" fillId="0" borderId="1" xfId="0" applyBorder="1" applyAlignment="1">
      <alignment horizontal="center"/>
    </xf>
    <xf numFmtId="0" fontId="1" fillId="0" borderId="22" xfId="0" applyFont="1" applyBorder="1" applyAlignment="1">
      <alignment horizontal="center"/>
    </xf>
    <xf numFmtId="0" fontId="0" fillId="0" borderId="22" xfId="0" applyBorder="1" applyAlignment="1">
      <alignment horizontal="center"/>
    </xf>
    <xf numFmtId="0" fontId="3" fillId="0" borderId="8" xfId="0" applyFont="1" applyBorder="1" applyAlignment="1">
      <alignment horizontal="center" wrapText="1"/>
    </xf>
    <xf numFmtId="0" fontId="0" fillId="0" borderId="22" xfId="0" applyBorder="1" applyAlignment="1">
      <alignment wrapText="1"/>
    </xf>
    <xf numFmtId="164" fontId="0" fillId="4" borderId="1" xfId="0" applyNumberFormat="1" applyFill="1" applyBorder="1" applyAlignment="1">
      <alignment horizontal="center"/>
    </xf>
    <xf numFmtId="164" fontId="6" fillId="4" borderId="1" xfId="0" applyNumberFormat="1" applyFont="1" applyFill="1" applyBorder="1" applyAlignment="1">
      <alignment horizontal="center"/>
    </xf>
    <xf numFmtId="164" fontId="6" fillId="4" borderId="1" xfId="0" applyNumberFormat="1" applyFont="1" applyFill="1" applyBorder="1" applyAlignment="1"/>
    <xf numFmtId="164" fontId="0" fillId="4" borderId="9" xfId="0" applyNumberFormat="1" applyFill="1" applyBorder="1" applyAlignment="1"/>
    <xf numFmtId="0" fontId="3" fillId="0" borderId="7" xfId="0" applyFont="1" applyBorder="1" applyAlignment="1">
      <alignment horizontal="center" wrapText="1"/>
    </xf>
    <xf numFmtId="0" fontId="0" fillId="0" borderId="6" xfId="0" applyBorder="1"/>
    <xf numFmtId="0" fontId="0" fillId="0" borderId="29" xfId="0" applyBorder="1"/>
    <xf numFmtId="0" fontId="0" fillId="0" borderId="8" xfId="0" applyBorder="1"/>
    <xf numFmtId="0" fontId="0" fillId="0" borderId="0" xfId="0"/>
    <xf numFmtId="0" fontId="0" fillId="0" borderId="44" xfId="0" applyBorder="1"/>
    <xf numFmtId="0" fontId="0" fillId="0" borderId="22" xfId="0" applyBorder="1"/>
    <xf numFmtId="0" fontId="0" fillId="0" borderId="43" xfId="0" applyBorder="1"/>
    <xf numFmtId="164" fontId="6" fillId="0" borderId="1" xfId="0" applyNumberFormat="1" applyFont="1" applyBorder="1" applyAlignment="1">
      <alignment horizontal="center"/>
    </xf>
    <xf numFmtId="164" fontId="6" fillId="0" borderId="1" xfId="0" applyNumberFormat="1" applyFont="1" applyBorder="1" applyAlignment="1"/>
    <xf numFmtId="164" fontId="0" fillId="0" borderId="1" xfId="0" applyNumberFormat="1" applyBorder="1" applyAlignment="1"/>
    <xf numFmtId="0" fontId="0" fillId="0" borderId="14" xfId="0" applyBorder="1" applyAlignment="1"/>
    <xf numFmtId="49" fontId="6" fillId="0" borderId="52" xfId="0" applyNumberFormat="1" applyFont="1" applyBorder="1" applyAlignment="1">
      <alignment horizontal="left"/>
    </xf>
    <xf numFmtId="49" fontId="6" fillId="0" borderId="49" xfId="0" applyNumberFormat="1" applyFont="1" applyBorder="1" applyAlignment="1">
      <alignment horizontal="left"/>
    </xf>
    <xf numFmtId="49" fontId="6" fillId="0" borderId="29" xfId="0" applyNumberFormat="1" applyFont="1" applyBorder="1" applyAlignment="1">
      <alignment horizontal="left"/>
    </xf>
    <xf numFmtId="49" fontId="6" fillId="0" borderId="2" xfId="0" applyNumberFormat="1" applyFont="1" applyBorder="1" applyAlignment="1">
      <alignment horizontal="left"/>
    </xf>
    <xf numFmtId="166" fontId="0" fillId="0" borderId="18" xfId="0" applyNumberFormat="1"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0" xfId="0" applyFill="1" applyBorder="1" applyAlignment="1">
      <alignment horizontal="center"/>
    </xf>
    <xf numFmtId="166" fontId="0" fillId="0" borderId="6" xfId="0" applyNumberFormat="1" applyBorder="1" applyAlignment="1">
      <alignment horizontal="center"/>
    </xf>
    <xf numFmtId="0" fontId="0" fillId="0" borderId="14" xfId="0" applyBorder="1" applyAlignment="1">
      <alignment wrapText="1"/>
    </xf>
    <xf numFmtId="0" fontId="3" fillId="0" borderId="27" xfId="0" applyFont="1" applyBorder="1" applyAlignment="1">
      <alignment horizontal="center"/>
    </xf>
    <xf numFmtId="0" fontId="3" fillId="0" borderId="39" xfId="0" applyFont="1" applyBorder="1" applyAlignment="1">
      <alignment horizontal="center" vertical="center" wrapText="1"/>
    </xf>
    <xf numFmtId="49" fontId="6" fillId="0" borderId="51" xfId="0" applyNumberFormat="1" applyFont="1" applyBorder="1" applyAlignment="1">
      <alignment horizontal="left"/>
    </xf>
    <xf numFmtId="49" fontId="6" fillId="0" borderId="16" xfId="0" applyNumberFormat="1" applyFont="1" applyBorder="1" applyAlignment="1">
      <alignment horizontal="left"/>
    </xf>
    <xf numFmtId="49" fontId="3" fillId="0" borderId="20" xfId="0" applyNumberFormat="1" applyFont="1" applyBorder="1" applyAlignment="1">
      <alignment horizontal="center" wrapText="1"/>
    </xf>
    <xf numFmtId="0" fontId="3" fillId="0" borderId="20" xfId="0" applyFont="1" applyBorder="1" applyAlignment="1">
      <alignment horizontal="center" wrapText="1"/>
    </xf>
    <xf numFmtId="0" fontId="0" fillId="0" borderId="41" xfId="0" applyBorder="1" applyAlignment="1">
      <alignment horizontal="center" wrapText="1"/>
    </xf>
    <xf numFmtId="166" fontId="0" fillId="0" borderId="16" xfId="0" applyNumberFormat="1" applyBorder="1" applyAlignment="1">
      <alignment horizontal="center"/>
    </xf>
    <xf numFmtId="166" fontId="0" fillId="0" borderId="17" xfId="0" applyNumberFormat="1" applyBorder="1" applyAlignment="1">
      <alignment horizontal="center"/>
    </xf>
    <xf numFmtId="166" fontId="6" fillId="0" borderId="17" xfId="0" applyNumberFormat="1" applyFont="1" applyBorder="1" applyAlignment="1">
      <alignment horizontal="center"/>
    </xf>
    <xf numFmtId="0" fontId="3" fillId="0" borderId="43" xfId="0" applyFont="1" applyBorder="1" applyAlignment="1">
      <alignment horizontal="left"/>
    </xf>
    <xf numFmtId="0" fontId="3" fillId="0" borderId="4" xfId="0" applyFont="1" applyBorder="1" applyAlignment="1">
      <alignment horizontal="left"/>
    </xf>
    <xf numFmtId="49" fontId="3" fillId="0" borderId="3" xfId="0" applyNumberFormat="1" applyFont="1" applyBorder="1" applyAlignment="1">
      <alignment horizontal="center"/>
    </xf>
    <xf numFmtId="49" fontId="3" fillId="0" borderId="0" xfId="0" applyNumberFormat="1" applyFont="1" applyAlignment="1">
      <alignment horizontal="center"/>
    </xf>
    <xf numFmtId="0" fontId="3" fillId="0" borderId="0" xfId="0" applyFont="1" applyBorder="1" applyAlignment="1">
      <alignment horizontal="center" wrapText="1"/>
    </xf>
    <xf numFmtId="0" fontId="0" fillId="0" borderId="38" xfId="0" applyBorder="1" applyAlignment="1">
      <alignment horizontal="center" wrapText="1"/>
    </xf>
    <xf numFmtId="0" fontId="0" fillId="0" borderId="0" xfId="0" applyBorder="1" applyAlignment="1">
      <alignment horizontal="center" wrapText="1"/>
    </xf>
    <xf numFmtId="49" fontId="3" fillId="0" borderId="14" xfId="0" applyNumberFormat="1"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wrapText="1"/>
    </xf>
    <xf numFmtId="0" fontId="0" fillId="0" borderId="0" xfId="0" applyAlignment="1">
      <alignment horizontal="center" wrapText="1"/>
    </xf>
    <xf numFmtId="49" fontId="6" fillId="0" borderId="19" xfId="0" applyNumberFormat="1" applyFont="1" applyBorder="1" applyAlignment="1">
      <alignment horizontal="left"/>
    </xf>
    <xf numFmtId="49" fontId="6" fillId="0" borderId="3" xfId="0" applyNumberFormat="1" applyFont="1" applyBorder="1" applyAlignment="1">
      <alignment horizontal="left"/>
    </xf>
    <xf numFmtId="166" fontId="0" fillId="0" borderId="49" xfId="0" applyNumberFormat="1" applyBorder="1" applyAlignment="1">
      <alignment horizontal="center"/>
    </xf>
    <xf numFmtId="166" fontId="0" fillId="0" borderId="2" xfId="0" applyNumberFormat="1" applyBorder="1" applyAlignment="1">
      <alignment horizontal="center"/>
    </xf>
    <xf numFmtId="0" fontId="1" fillId="0" borderId="17" xfId="0" applyFont="1" applyBorder="1" applyAlignment="1">
      <alignment horizontal="center"/>
    </xf>
    <xf numFmtId="166" fontId="0" fillId="0" borderId="3" xfId="0" applyNumberFormat="1" applyBorder="1" applyAlignment="1">
      <alignment horizontal="center"/>
    </xf>
    <xf numFmtId="166" fontId="0" fillId="0" borderId="50" xfId="0" applyNumberFormat="1" applyBorder="1" applyAlignment="1">
      <alignment horizontal="center"/>
    </xf>
    <xf numFmtId="166" fontId="0" fillId="0" borderId="7" xfId="0" applyNumberFormat="1" applyBorder="1" applyAlignment="1">
      <alignment horizontal="center"/>
    </xf>
    <xf numFmtId="166" fontId="0" fillId="0" borderId="11" xfId="0" applyNumberFormat="1" applyBorder="1" applyAlignment="1">
      <alignment horizontal="center"/>
    </xf>
    <xf numFmtId="49" fontId="3" fillId="0" borderId="4" xfId="0" applyNumberFormat="1" applyFont="1" applyBorder="1" applyAlignment="1">
      <alignment horizontal="center"/>
    </xf>
    <xf numFmtId="49" fontId="3" fillId="0" borderId="44" xfId="0" applyNumberFormat="1" applyFont="1" applyBorder="1" applyAlignment="1">
      <alignment horizontal="center"/>
    </xf>
    <xf numFmtId="166" fontId="0" fillId="4" borderId="2" xfId="0" applyNumberFormat="1" applyFill="1" applyBorder="1" applyAlignment="1">
      <alignment horizontal="center"/>
    </xf>
    <xf numFmtId="166" fontId="0" fillId="4" borderId="7" xfId="0" applyNumberFormat="1" applyFill="1" applyBorder="1" applyAlignment="1">
      <alignment horizontal="center"/>
    </xf>
    <xf numFmtId="0" fontId="3" fillId="0" borderId="14" xfId="0" applyFont="1" applyBorder="1" applyAlignment="1">
      <alignment horizontal="center"/>
    </xf>
    <xf numFmtId="166" fontId="6" fillId="0" borderId="3" xfId="0" applyNumberFormat="1" applyFont="1" applyBorder="1" applyAlignment="1">
      <alignment horizontal="center"/>
    </xf>
    <xf numFmtId="166" fontId="0" fillId="4" borderId="3" xfId="0" applyNumberFormat="1" applyFill="1" applyBorder="1" applyAlignment="1">
      <alignment horizontal="center"/>
    </xf>
    <xf numFmtId="166" fontId="0" fillId="4" borderId="14" xfId="0" applyNumberFormat="1" applyFill="1" applyBorder="1" applyAlignment="1">
      <alignment horizontal="center"/>
    </xf>
    <xf numFmtId="49" fontId="6" fillId="0" borderId="0" xfId="0" applyNumberFormat="1" applyFont="1" applyBorder="1" applyAlignment="1"/>
    <xf numFmtId="166" fontId="0" fillId="0" borderId="8" xfId="0" applyNumberFormat="1" applyBorder="1" applyAlignment="1">
      <alignment horizontal="center"/>
    </xf>
    <xf numFmtId="166" fontId="0" fillId="0" borderId="38" xfId="0" applyNumberFormat="1" applyBorder="1" applyAlignment="1">
      <alignment horizontal="center"/>
    </xf>
    <xf numFmtId="166" fontId="0" fillId="4" borderId="8" xfId="0" applyNumberFormat="1" applyFill="1" applyBorder="1" applyAlignment="1">
      <alignment horizontal="center"/>
    </xf>
    <xf numFmtId="166" fontId="0" fillId="4" borderId="38" xfId="0" applyNumberFormat="1" applyFill="1" applyBorder="1" applyAlignment="1">
      <alignment horizontal="center"/>
    </xf>
    <xf numFmtId="0" fontId="0" fillId="4" borderId="7" xfId="0" applyFill="1" applyBorder="1" applyAlignment="1"/>
    <xf numFmtId="0" fontId="0" fillId="4" borderId="29" xfId="0" applyFill="1" applyBorder="1" applyAlignment="1"/>
    <xf numFmtId="0" fontId="0" fillId="4" borderId="6" xfId="0" applyFill="1" applyBorder="1" applyAlignment="1"/>
    <xf numFmtId="0" fontId="3" fillId="0" borderId="6" xfId="0" applyFont="1" applyBorder="1" applyAlignment="1"/>
    <xf numFmtId="0" fontId="3" fillId="0" borderId="15" xfId="0" applyFont="1" applyBorder="1" applyAlignment="1"/>
    <xf numFmtId="0" fontId="0" fillId="0" borderId="29" xfId="0" applyBorder="1" applyAlignment="1">
      <alignment horizontal="center" wrapText="1"/>
    </xf>
    <xf numFmtId="0" fontId="3" fillId="0" borderId="44" xfId="0" applyFont="1" applyBorder="1" applyAlignment="1">
      <alignment horizontal="center" wrapText="1"/>
    </xf>
    <xf numFmtId="0" fontId="0" fillId="0" borderId="43" xfId="0" applyBorder="1" applyAlignment="1">
      <alignment horizontal="center" wrapText="1"/>
    </xf>
    <xf numFmtId="0" fontId="1" fillId="0" borderId="17" xfId="0" applyFont="1" applyBorder="1" applyAlignment="1">
      <alignment horizontal="left"/>
    </xf>
    <xf numFmtId="49" fontId="3" fillId="0" borderId="17" xfId="0" applyNumberFormat="1" applyFont="1" applyBorder="1" applyAlignment="1">
      <alignment horizontal="center"/>
    </xf>
    <xf numFmtId="0" fontId="3" fillId="0" borderId="6" xfId="0" applyFont="1" applyBorder="1" applyAlignment="1">
      <alignment horizontal="center" wrapText="1"/>
    </xf>
    <xf numFmtId="0" fontId="0" fillId="0" borderId="6" xfId="0" applyBorder="1" applyAlignment="1">
      <alignment horizontal="center" wrapText="1"/>
    </xf>
    <xf numFmtId="0" fontId="0" fillId="0" borderId="22" xfId="0" applyBorder="1" applyAlignment="1">
      <alignment horizontal="center" wrapText="1"/>
    </xf>
    <xf numFmtId="0" fontId="0" fillId="0" borderId="44" xfId="0" applyBorder="1" applyAlignment="1">
      <alignment horizontal="center" wrapText="1"/>
    </xf>
    <xf numFmtId="166" fontId="0" fillId="0" borderId="0" xfId="0" applyNumberFormat="1" applyBorder="1" applyAlignment="1">
      <alignment horizontal="center"/>
    </xf>
    <xf numFmtId="166" fontId="0" fillId="4" borderId="10" xfId="0" applyNumberFormat="1" applyFill="1" applyBorder="1" applyAlignment="1">
      <alignment horizontal="center"/>
    </xf>
    <xf numFmtId="166" fontId="0" fillId="4" borderId="24" xfId="0" applyNumberFormat="1" applyFill="1" applyBorder="1" applyAlignment="1">
      <alignment horizontal="center"/>
    </xf>
    <xf numFmtId="166" fontId="0" fillId="4" borderId="25" xfId="0" applyNumberFormat="1" applyFill="1" applyBorder="1" applyAlignment="1">
      <alignment horizontal="center"/>
    </xf>
    <xf numFmtId="166" fontId="0" fillId="4" borderId="56" xfId="0" applyNumberFormat="1" applyFill="1" applyBorder="1" applyAlignment="1">
      <alignment horizontal="center"/>
    </xf>
    <xf numFmtId="166" fontId="0" fillId="0" borderId="59" xfId="0" applyNumberFormat="1" applyBorder="1" applyAlignment="1">
      <alignment horizontal="center"/>
    </xf>
    <xf numFmtId="166" fontId="0" fillId="0" borderId="61" xfId="0" applyNumberFormat="1" applyBorder="1" applyAlignment="1">
      <alignment horizontal="center"/>
    </xf>
    <xf numFmtId="49" fontId="6" fillId="0" borderId="60" xfId="0" applyNumberFormat="1" applyFont="1" applyBorder="1" applyAlignment="1"/>
    <xf numFmtId="0" fontId="0" fillId="0" borderId="60" xfId="0" applyBorder="1" applyAlignment="1"/>
    <xf numFmtId="0" fontId="0" fillId="0" borderId="61" xfId="0" applyBorder="1" applyAlignment="1"/>
    <xf numFmtId="166" fontId="0" fillId="0" borderId="25" xfId="0" applyNumberFormat="1" applyBorder="1" applyAlignment="1">
      <alignment horizontal="center"/>
    </xf>
    <xf numFmtId="166" fontId="0" fillId="0" borderId="56" xfId="0" applyNumberFormat="1" applyBorder="1" applyAlignment="1">
      <alignment horizontal="center"/>
    </xf>
    <xf numFmtId="0" fontId="0" fillId="0" borderId="56" xfId="0" applyBorder="1" applyAlignment="1">
      <alignment horizontal="center"/>
    </xf>
    <xf numFmtId="166" fontId="0" fillId="0" borderId="60" xfId="0" applyNumberFormat="1" applyBorder="1" applyAlignment="1">
      <alignment horizontal="center"/>
    </xf>
    <xf numFmtId="166" fontId="0" fillId="0" borderId="55" xfId="0" applyNumberFormat="1" applyBorder="1" applyAlignment="1">
      <alignment horizontal="center"/>
    </xf>
    <xf numFmtId="166" fontId="0" fillId="0" borderId="25" xfId="0" applyNumberFormat="1" applyFill="1" applyBorder="1" applyAlignment="1">
      <alignment horizontal="center"/>
    </xf>
    <xf numFmtId="166" fontId="0" fillId="0" borderId="56" xfId="0" applyNumberFormat="1" applyFill="1" applyBorder="1" applyAlignment="1">
      <alignment horizontal="center"/>
    </xf>
    <xf numFmtId="166" fontId="0" fillId="0" borderId="59" xfId="0" applyNumberFormat="1" applyFill="1" applyBorder="1" applyAlignment="1">
      <alignment horizontal="center"/>
    </xf>
    <xf numFmtId="166" fontId="0" fillId="0" borderId="61" xfId="0" applyNumberFormat="1" applyFill="1" applyBorder="1" applyAlignment="1">
      <alignment horizontal="center"/>
    </xf>
    <xf numFmtId="49" fontId="6" fillId="0" borderId="55" xfId="0" applyNumberFormat="1" applyFont="1" applyBorder="1" applyAlignment="1"/>
    <xf numFmtId="0" fontId="0" fillId="0" borderId="55" xfId="0" applyBorder="1" applyAlignment="1"/>
    <xf numFmtId="0" fontId="0" fillId="0" borderId="56" xfId="0" applyBorder="1" applyAlignment="1"/>
    <xf numFmtId="49" fontId="6" fillId="0" borderId="58" xfId="0" applyNumberFormat="1" applyFont="1" applyBorder="1" applyAlignment="1"/>
    <xf numFmtId="0" fontId="0" fillId="0" borderId="58" xfId="0" applyBorder="1" applyAlignment="1"/>
    <xf numFmtId="0" fontId="0" fillId="0" borderId="52" xfId="0" applyBorder="1" applyAlignment="1"/>
    <xf numFmtId="0" fontId="3" fillId="0" borderId="0" xfId="0" applyFont="1" applyBorder="1" applyAlignment="1"/>
    <xf numFmtId="49" fontId="3" fillId="0" borderId="20" xfId="0" applyNumberFormat="1" applyFont="1" applyFill="1" applyBorder="1" applyAlignment="1">
      <alignment horizontal="center" wrapText="1"/>
    </xf>
    <xf numFmtId="0" fontId="0" fillId="0" borderId="20" xfId="0" applyBorder="1" applyAlignment="1">
      <alignment horizontal="center" wrapText="1"/>
    </xf>
    <xf numFmtId="0" fontId="0" fillId="0" borderId="20" xfId="0" applyBorder="1" applyAlignment="1">
      <alignment horizontal="center"/>
    </xf>
    <xf numFmtId="0" fontId="0" fillId="0" borderId="41" xfId="0" applyBorder="1" applyAlignment="1">
      <alignment horizontal="center"/>
    </xf>
    <xf numFmtId="166" fontId="0" fillId="0" borderId="50" xfId="0" applyNumberFormat="1" applyFill="1" applyBorder="1" applyAlignment="1">
      <alignment horizontal="center"/>
    </xf>
    <xf numFmtId="166" fontId="0" fillId="0" borderId="58" xfId="0" applyNumberFormat="1" applyFill="1" applyBorder="1" applyAlignment="1">
      <alignment horizontal="center"/>
    </xf>
    <xf numFmtId="166" fontId="0" fillId="0" borderId="55" xfId="0" applyNumberFormat="1" applyFill="1" applyBorder="1" applyAlignment="1">
      <alignment horizontal="center"/>
    </xf>
    <xf numFmtId="166" fontId="0" fillId="0" borderId="52" xfId="0" applyNumberFormat="1" applyBorder="1" applyAlignment="1">
      <alignment horizontal="center"/>
    </xf>
    <xf numFmtId="0" fontId="3" fillId="0" borderId="19" xfId="0" applyFont="1" applyFill="1" applyBorder="1" applyAlignment="1">
      <alignment horizontal="center" vertical="top" wrapText="1"/>
    </xf>
    <xf numFmtId="49" fontId="3" fillId="0" borderId="22" xfId="0" applyNumberFormat="1" applyFont="1" applyBorder="1" applyAlignment="1">
      <alignment horizontal="center"/>
    </xf>
    <xf numFmtId="166" fontId="3" fillId="0" borderId="19" xfId="0" applyNumberFormat="1" applyFont="1" applyFill="1" applyBorder="1" applyAlignment="1">
      <alignment horizontal="center" vertical="top" wrapText="1"/>
    </xf>
    <xf numFmtId="0" fontId="3" fillId="0" borderId="19" xfId="0" applyFont="1" applyBorder="1" applyAlignment="1">
      <alignment vertical="top" wrapText="1"/>
    </xf>
    <xf numFmtId="166" fontId="0" fillId="0" borderId="44" xfId="0" applyNumberFormat="1" applyBorder="1" applyAlignment="1">
      <alignment horizontal="center"/>
    </xf>
    <xf numFmtId="166" fontId="0" fillId="0" borderId="43" xfId="0" applyNumberFormat="1" applyBorder="1" applyAlignment="1">
      <alignment horizontal="center"/>
    </xf>
    <xf numFmtId="166" fontId="0" fillId="0" borderId="52" xfId="0" applyNumberFormat="1" applyFill="1" applyBorder="1" applyAlignment="1">
      <alignment horizontal="center"/>
    </xf>
    <xf numFmtId="49" fontId="0" fillId="0" borderId="0" xfId="0" applyNumberFormat="1" applyFont="1" applyBorder="1" applyAlignment="1"/>
    <xf numFmtId="49" fontId="0" fillId="0" borderId="55" xfId="0" applyNumberFormat="1" applyFont="1" applyBorder="1" applyAlignment="1"/>
    <xf numFmtId="166" fontId="3" fillId="0" borderId="3"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wrapText="1"/>
    </xf>
    <xf numFmtId="0" fontId="3" fillId="0" borderId="14" xfId="0" applyFont="1" applyBorder="1" applyAlignment="1">
      <alignment vertical="top" wrapText="1"/>
    </xf>
    <xf numFmtId="164" fontId="0" fillId="0" borderId="1" xfId="0" applyNumberFormat="1" applyFill="1" applyBorder="1" applyAlignment="1">
      <alignment horizontal="center"/>
    </xf>
    <xf numFmtId="164" fontId="1" fillId="4" borderId="3" xfId="0" applyNumberFormat="1" applyFont="1" applyFill="1" applyBorder="1" applyAlignment="1">
      <alignment horizontal="center"/>
    </xf>
    <xf numFmtId="164" fontId="1" fillId="4" borderId="14" xfId="0" applyNumberFormat="1" applyFont="1" applyFill="1" applyBorder="1" applyAlignment="1">
      <alignment horizontal="center"/>
    </xf>
    <xf numFmtId="164" fontId="1" fillId="4" borderId="1" xfId="0" applyNumberFormat="1" applyFont="1" applyFill="1" applyBorder="1" applyAlignment="1">
      <alignment horizontal="center"/>
    </xf>
    <xf numFmtId="164" fontId="1" fillId="4" borderId="9" xfId="0" applyNumberFormat="1" applyFont="1" applyFill="1" applyBorder="1" applyAlignment="1">
      <alignment horizontal="center"/>
    </xf>
    <xf numFmtId="0" fontId="1" fillId="0" borderId="5" xfId="0" applyFont="1" applyBorder="1" applyAlignment="1">
      <alignment horizontal="center"/>
    </xf>
    <xf numFmtId="0" fontId="0" fillId="0" borderId="18" xfId="0" applyBorder="1" applyAlignment="1"/>
    <xf numFmtId="49" fontId="0" fillId="0" borderId="27" xfId="0" applyNumberFormat="1" applyFont="1" applyBorder="1" applyAlignment="1"/>
    <xf numFmtId="0" fontId="0" fillId="0" borderId="27" xfId="0" applyBorder="1" applyAlignment="1"/>
    <xf numFmtId="0" fontId="0" fillId="0" borderId="54" xfId="0" applyBorder="1" applyAlignment="1"/>
    <xf numFmtId="49" fontId="3" fillId="0" borderId="40" xfId="0" applyNumberFormat="1" applyFont="1" applyBorder="1" applyAlignment="1">
      <alignment horizontal="center"/>
    </xf>
    <xf numFmtId="0" fontId="0" fillId="0" borderId="40" xfId="0" applyBorder="1" applyAlignment="1">
      <alignment horizontal="center"/>
    </xf>
    <xf numFmtId="49" fontId="0" fillId="0" borderId="0" xfId="0" applyNumberFormat="1" applyFont="1" applyAlignment="1"/>
    <xf numFmtId="49" fontId="0" fillId="0" borderId="57" xfId="0" applyNumberFormat="1" applyFont="1" applyBorder="1" applyAlignment="1"/>
    <xf numFmtId="0" fontId="0" fillId="0" borderId="57" xfId="0" applyBorder="1" applyAlignment="1"/>
    <xf numFmtId="0" fontId="0" fillId="0" borderId="51" xfId="0" applyBorder="1" applyAlignment="1"/>
    <xf numFmtId="49" fontId="0" fillId="0" borderId="6" xfId="0" applyNumberFormat="1" applyFont="1" applyBorder="1" applyAlignment="1"/>
    <xf numFmtId="0" fontId="3" fillId="0" borderId="42" xfId="0" applyFont="1" applyBorder="1" applyAlignment="1">
      <alignment horizontal="center" wrapText="1"/>
    </xf>
    <xf numFmtId="0" fontId="0" fillId="0" borderId="15" xfId="0" applyBorder="1" applyAlignment="1">
      <alignment horizontal="center" wrapText="1"/>
    </xf>
    <xf numFmtId="0" fontId="0" fillId="0" borderId="8" xfId="0" applyBorder="1" applyAlignment="1">
      <alignment horizontal="center" wrapText="1"/>
    </xf>
    <xf numFmtId="1" fontId="1" fillId="0" borderId="7" xfId="0" applyNumberFormat="1" applyFont="1" applyBorder="1" applyAlignment="1">
      <alignment horizontal="center" vertical="center" wrapText="1"/>
    </xf>
    <xf numFmtId="1" fontId="0" fillId="0" borderId="44" xfId="0" applyNumberForma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2" fontId="1" fillId="0" borderId="3" xfId="0" quotePrefix="1" applyNumberFormat="1" applyFont="1" applyBorder="1" applyAlignment="1">
      <alignment horizontal="center" vertical="top"/>
    </xf>
    <xf numFmtId="2" fontId="0" fillId="0" borderId="3" xfId="0" applyNumberFormat="1" applyBorder="1" applyAlignment="1">
      <alignment horizontal="center" vertical="top"/>
    </xf>
    <xf numFmtId="164" fontId="1" fillId="0" borderId="3" xfId="0" applyNumberFormat="1" applyFont="1" applyFill="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0" fontId="3" fillId="0" borderId="39" xfId="0" applyFont="1" applyBorder="1" applyAlignment="1">
      <alignment horizontal="center" wrapText="1"/>
    </xf>
    <xf numFmtId="0" fontId="3" fillId="0" borderId="38" xfId="0" applyFont="1" applyBorder="1" applyAlignment="1">
      <alignment horizontal="center" wrapText="1"/>
    </xf>
    <xf numFmtId="0" fontId="0" fillId="0" borderId="39" xfId="0" applyBorder="1" applyAlignment="1">
      <alignment horizontal="center" wrapText="1"/>
    </xf>
    <xf numFmtId="2" fontId="1" fillId="0" borderId="14" xfId="0" quotePrefix="1" applyNumberFormat="1" applyFont="1" applyBorder="1" applyAlignment="1">
      <alignment horizontal="center" vertical="top"/>
    </xf>
    <xf numFmtId="2" fontId="0" fillId="0" borderId="14" xfId="0" applyNumberFormat="1" applyBorder="1" applyAlignment="1">
      <alignment horizontal="center" vertical="top"/>
    </xf>
    <xf numFmtId="2" fontId="1" fillId="0" borderId="9" xfId="0" applyNumberFormat="1" applyFont="1" applyBorder="1" applyAlignment="1">
      <alignment horizontal="center"/>
    </xf>
    <xf numFmtId="2" fontId="0" fillId="0" borderId="18" xfId="0" applyNumberFormat="1" applyBorder="1" applyAlignment="1">
      <alignment horizontal="center"/>
    </xf>
    <xf numFmtId="0" fontId="1" fillId="0" borderId="6" xfId="0" applyFont="1" applyBorder="1" applyAlignment="1">
      <alignment horizontal="center" wrapText="1"/>
    </xf>
    <xf numFmtId="1" fontId="1" fillId="0" borderId="14" xfId="0" applyNumberFormat="1" applyFont="1" applyBorder="1" applyAlignment="1">
      <alignment horizontal="center" vertical="center" wrapText="1"/>
    </xf>
    <xf numFmtId="1" fontId="0" fillId="0" borderId="14" xfId="0" applyNumberFormat="1" applyBorder="1" applyAlignment="1">
      <alignment horizontal="center" vertical="center" wrapText="1"/>
    </xf>
    <xf numFmtId="0" fontId="3" fillId="0" borderId="21" xfId="0" applyFont="1" applyFill="1" applyBorder="1" applyAlignment="1">
      <alignment horizontal="center"/>
    </xf>
    <xf numFmtId="0" fontId="0" fillId="0" borderId="23" xfId="0" applyBorder="1" applyAlignment="1"/>
    <xf numFmtId="0" fontId="3" fillId="0" borderId="15" xfId="0" applyFont="1" applyBorder="1" applyAlignment="1">
      <alignment horizontal="center" vertical="center"/>
    </xf>
    <xf numFmtId="0" fontId="0" fillId="0" borderId="41" xfId="0" applyBorder="1" applyAlignment="1">
      <alignment wrapText="1"/>
    </xf>
    <xf numFmtId="0" fontId="3" fillId="0" borderId="40" xfId="0" applyFont="1" applyBorder="1" applyAlignment="1">
      <alignment horizontal="center"/>
    </xf>
    <xf numFmtId="2" fontId="0" fillId="0" borderId="7" xfId="0" applyNumberFormat="1" applyBorder="1" applyAlignment="1">
      <alignment horizontal="center" vertical="top"/>
    </xf>
    <xf numFmtId="2" fontId="0" fillId="0" borderId="44" xfId="0" applyNumberFormat="1" applyBorder="1" applyAlignment="1">
      <alignment horizontal="center" vertical="top"/>
    </xf>
    <xf numFmtId="2" fontId="1" fillId="0" borderId="7" xfId="0" applyNumberFormat="1" applyFont="1" applyBorder="1" applyAlignment="1">
      <alignment horizontal="center" wrapText="1"/>
    </xf>
    <xf numFmtId="0" fontId="1" fillId="0" borderId="6"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36" xfId="0" applyBorder="1" applyAlignment="1">
      <alignment horizontal="center" vertical="center" wrapText="1"/>
    </xf>
    <xf numFmtId="0" fontId="2" fillId="0" borderId="15" xfId="0" applyFont="1" applyBorder="1" applyAlignment="1">
      <alignment vertical="center" wrapText="1"/>
    </xf>
    <xf numFmtId="0" fontId="0" fillId="0" borderId="15" xfId="0" applyBorder="1" applyAlignment="1">
      <alignment vertical="center" wrapText="1"/>
    </xf>
  </cellXfs>
  <cellStyles count="1">
    <cellStyle name="Normal" xfId="0" builtinId="0"/>
  </cellStyles>
  <dxfs count="4">
    <dxf>
      <font>
        <b/>
        <i val="0"/>
        <color rgb="FFC00000"/>
      </font>
    </dxf>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15240</xdr:colOff>
      <xdr:row>12</xdr:row>
      <xdr:rowOff>99060</xdr:rowOff>
    </xdr:from>
    <xdr:to>
      <xdr:col>19</xdr:col>
      <xdr:colOff>419100</xdr:colOff>
      <xdr:row>29</xdr:row>
      <xdr:rowOff>143510</xdr:rowOff>
    </xdr:to>
    <xdr:pic>
      <xdr:nvPicPr>
        <xdr:cNvPr id="2082" name="Picture 1">
          <a:extLst>
            <a:ext uri="{FF2B5EF4-FFF2-40B4-BE49-F238E27FC236}">
              <a16:creationId xmlns:a16="http://schemas.microsoft.com/office/drawing/2014/main" id="{A895CA5B-4D64-4C61-9D6A-F74D1C676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3120" y="2202180"/>
          <a:ext cx="3947160" cy="305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S93"/>
  <sheetViews>
    <sheetView showGridLines="0" tabSelected="1" workbookViewId="0"/>
  </sheetViews>
  <sheetFormatPr defaultRowHeight="13.2" x14ac:dyDescent="0.25"/>
  <sheetData>
    <row r="2" spans="2:19" x14ac:dyDescent="0.25">
      <c r="B2" s="246" t="s">
        <v>377</v>
      </c>
      <c r="C2" s="246"/>
      <c r="D2" s="246"/>
      <c r="E2" s="246"/>
      <c r="F2" s="246"/>
      <c r="G2" s="246"/>
      <c r="H2" s="246"/>
      <c r="I2" s="246"/>
      <c r="J2" s="246"/>
      <c r="K2" s="246"/>
      <c r="L2" s="246"/>
      <c r="M2" s="246"/>
      <c r="N2" s="246"/>
      <c r="O2" s="246"/>
      <c r="P2" s="246"/>
    </row>
    <row r="4" spans="2:19" x14ac:dyDescent="0.25">
      <c r="B4" s="114" t="s">
        <v>275</v>
      </c>
      <c r="K4" s="114" t="s">
        <v>276</v>
      </c>
      <c r="R4" s="231"/>
    </row>
    <row r="6" spans="2:19" ht="13.2" customHeight="1" x14ac:dyDescent="0.25">
      <c r="B6" s="252" t="s">
        <v>433</v>
      </c>
      <c r="C6" s="252"/>
      <c r="D6" s="252"/>
      <c r="E6" s="252"/>
      <c r="F6" s="252"/>
      <c r="G6" s="252"/>
      <c r="H6" s="252"/>
      <c r="I6" s="252"/>
      <c r="K6" s="252" t="s">
        <v>434</v>
      </c>
      <c r="L6" s="252"/>
      <c r="M6" s="252"/>
      <c r="N6" s="252"/>
      <c r="O6" s="252"/>
      <c r="P6" s="252"/>
      <c r="Q6" s="58"/>
      <c r="S6" s="58"/>
    </row>
    <row r="7" spans="2:19" x14ac:dyDescent="0.25">
      <c r="B7" s="252"/>
      <c r="C7" s="252"/>
      <c r="D7" s="252"/>
      <c r="E7" s="252"/>
      <c r="F7" s="252"/>
      <c r="G7" s="252"/>
      <c r="H7" s="252"/>
      <c r="I7" s="252"/>
      <c r="K7" s="252"/>
      <c r="L7" s="252"/>
      <c r="M7" s="252"/>
      <c r="N7" s="252"/>
      <c r="O7" s="252"/>
      <c r="P7" s="252"/>
      <c r="Q7" s="58"/>
      <c r="S7" s="58"/>
    </row>
    <row r="8" spans="2:19" x14ac:dyDescent="0.25">
      <c r="B8" s="252"/>
      <c r="C8" s="252"/>
      <c r="D8" s="252"/>
      <c r="E8" s="252"/>
      <c r="F8" s="252"/>
      <c r="G8" s="252"/>
      <c r="H8" s="252"/>
      <c r="I8" s="252"/>
      <c r="K8" s="252"/>
      <c r="L8" s="252"/>
      <c r="M8" s="252"/>
      <c r="N8" s="252"/>
      <c r="O8" s="252"/>
      <c r="P8" s="252"/>
      <c r="Q8" s="58"/>
      <c r="S8" s="58"/>
    </row>
    <row r="9" spans="2:19" x14ac:dyDescent="0.25">
      <c r="B9" s="252"/>
      <c r="C9" s="252"/>
      <c r="D9" s="252"/>
      <c r="E9" s="252"/>
      <c r="F9" s="252"/>
      <c r="G9" s="252"/>
      <c r="H9" s="252"/>
      <c r="I9" s="252"/>
      <c r="K9" s="252"/>
      <c r="L9" s="252"/>
      <c r="M9" s="252"/>
      <c r="N9" s="252"/>
      <c r="O9" s="252"/>
      <c r="P9" s="252"/>
      <c r="Q9" s="58"/>
      <c r="S9" s="58"/>
    </row>
    <row r="10" spans="2:19" x14ac:dyDescent="0.25">
      <c r="B10" s="252"/>
      <c r="C10" s="252"/>
      <c r="D10" s="252"/>
      <c r="E10" s="252"/>
      <c r="F10" s="252"/>
      <c r="G10" s="252"/>
      <c r="H10" s="252"/>
      <c r="I10" s="252"/>
      <c r="K10" s="252"/>
      <c r="L10" s="252"/>
      <c r="M10" s="252"/>
      <c r="N10" s="252"/>
      <c r="O10" s="252"/>
      <c r="P10" s="252"/>
      <c r="Q10" s="58"/>
      <c r="S10" s="58"/>
    </row>
    <row r="11" spans="2:19" x14ac:dyDescent="0.25">
      <c r="B11" s="252"/>
      <c r="C11" s="252"/>
      <c r="D11" s="252"/>
      <c r="E11" s="252"/>
      <c r="F11" s="252"/>
      <c r="G11" s="252"/>
      <c r="H11" s="252"/>
      <c r="I11" s="252"/>
      <c r="K11" s="252"/>
      <c r="L11" s="252"/>
      <c r="M11" s="252"/>
      <c r="N11" s="252"/>
      <c r="O11" s="252"/>
      <c r="P11" s="252"/>
      <c r="Q11" s="58"/>
    </row>
    <row r="13" spans="2:19" ht="13.2" customHeight="1" x14ac:dyDescent="0.25">
      <c r="B13" s="253" t="s">
        <v>441</v>
      </c>
      <c r="C13" s="253"/>
      <c r="D13" s="253"/>
      <c r="E13" s="253"/>
      <c r="F13" s="253"/>
      <c r="G13" s="253"/>
      <c r="H13" s="253"/>
      <c r="I13" s="253"/>
      <c r="K13" s="114" t="s">
        <v>277</v>
      </c>
      <c r="M13" s="114" t="s">
        <v>278</v>
      </c>
      <c r="R13" s="58"/>
    </row>
    <row r="14" spans="2:19" x14ac:dyDescent="0.25">
      <c r="B14" s="253"/>
      <c r="C14" s="253"/>
      <c r="D14" s="253"/>
      <c r="E14" s="253"/>
      <c r="F14" s="253"/>
      <c r="G14" s="253"/>
      <c r="H14" s="253"/>
      <c r="I14" s="253"/>
      <c r="R14" s="58"/>
    </row>
    <row r="15" spans="2:19" x14ac:dyDescent="0.25">
      <c r="B15" s="253"/>
      <c r="C15" s="253"/>
      <c r="D15" s="253"/>
      <c r="E15" s="253"/>
      <c r="F15" s="253"/>
      <c r="G15" s="253"/>
      <c r="H15" s="253"/>
      <c r="I15" s="253"/>
      <c r="K15" s="160"/>
      <c r="M15" s="253" t="s">
        <v>437</v>
      </c>
      <c r="N15" s="253"/>
      <c r="O15" s="253"/>
      <c r="P15" s="253"/>
      <c r="R15" s="58"/>
    </row>
    <row r="16" spans="2:19" x14ac:dyDescent="0.25">
      <c r="B16" s="253"/>
      <c r="C16" s="253"/>
      <c r="D16" s="253"/>
      <c r="E16" s="253"/>
      <c r="F16" s="253"/>
      <c r="G16" s="253"/>
      <c r="H16" s="253"/>
      <c r="I16" s="253"/>
      <c r="K16" s="161"/>
      <c r="M16" s="253"/>
      <c r="N16" s="253"/>
      <c r="O16" s="253"/>
      <c r="P16" s="253"/>
      <c r="R16" s="58"/>
    </row>
    <row r="17" spans="2:18" x14ac:dyDescent="0.25">
      <c r="B17" s="253"/>
      <c r="C17" s="253"/>
      <c r="D17" s="253"/>
      <c r="E17" s="253"/>
      <c r="F17" s="253"/>
      <c r="G17" s="253"/>
      <c r="H17" s="253"/>
      <c r="I17" s="253"/>
      <c r="R17" s="58"/>
    </row>
    <row r="18" spans="2:18" x14ac:dyDescent="0.25">
      <c r="B18" s="253"/>
      <c r="C18" s="253"/>
      <c r="D18" s="253"/>
      <c r="E18" s="253"/>
      <c r="F18" s="253"/>
      <c r="G18" s="253"/>
      <c r="H18" s="253"/>
      <c r="I18" s="253"/>
      <c r="K18" s="162"/>
      <c r="M18" s="252" t="s">
        <v>436</v>
      </c>
      <c r="N18" s="252"/>
      <c r="O18" s="252"/>
      <c r="P18" s="252"/>
      <c r="R18" s="58"/>
    </row>
    <row r="19" spans="2:18" x14ac:dyDescent="0.25">
      <c r="B19" s="253"/>
      <c r="C19" s="253"/>
      <c r="D19" s="253"/>
      <c r="E19" s="253"/>
      <c r="F19" s="253"/>
      <c r="G19" s="253"/>
      <c r="H19" s="253"/>
      <c r="I19" s="253"/>
      <c r="K19" s="163"/>
      <c r="M19" s="252"/>
      <c r="N19" s="252"/>
      <c r="O19" s="252"/>
      <c r="P19" s="252"/>
      <c r="R19" s="58"/>
    </row>
    <row r="20" spans="2:18" x14ac:dyDescent="0.25">
      <c r="B20" s="253"/>
      <c r="C20" s="253"/>
      <c r="D20" s="253"/>
      <c r="E20" s="253"/>
      <c r="F20" s="253"/>
      <c r="G20" s="253"/>
      <c r="H20" s="253"/>
      <c r="I20" s="253"/>
      <c r="M20" s="252"/>
      <c r="N20" s="252"/>
      <c r="O20" s="252"/>
      <c r="P20" s="252"/>
    </row>
    <row r="22" spans="2:18" x14ac:dyDescent="0.25">
      <c r="B22" s="58" t="s">
        <v>279</v>
      </c>
      <c r="K22" s="164"/>
      <c r="M22" s="253" t="s">
        <v>435</v>
      </c>
      <c r="N22" s="253"/>
      <c r="O22" s="253"/>
      <c r="P22" s="253"/>
      <c r="R22" s="58"/>
    </row>
    <row r="23" spans="2:18" x14ac:dyDescent="0.25">
      <c r="K23" s="165"/>
      <c r="M23" s="253"/>
      <c r="N23" s="253"/>
      <c r="O23" s="253"/>
      <c r="P23" s="253"/>
      <c r="R23" s="58"/>
    </row>
    <row r="24" spans="2:18" x14ac:dyDescent="0.25">
      <c r="B24" s="114" t="s">
        <v>280</v>
      </c>
      <c r="E24" s="115" t="s">
        <v>281</v>
      </c>
      <c r="M24" s="253"/>
      <c r="N24" s="253"/>
      <c r="O24" s="253"/>
      <c r="P24" s="253"/>
      <c r="R24" s="58"/>
    </row>
    <row r="25" spans="2:18" x14ac:dyDescent="0.25">
      <c r="M25" s="253"/>
      <c r="N25" s="253"/>
      <c r="O25" s="253"/>
      <c r="P25" s="253"/>
      <c r="R25" s="58"/>
    </row>
    <row r="26" spans="2:18" x14ac:dyDescent="0.25">
      <c r="B26" s="58" t="s">
        <v>282</v>
      </c>
      <c r="E26" s="252" t="s">
        <v>438</v>
      </c>
      <c r="F26" s="252"/>
      <c r="G26" s="252"/>
      <c r="H26" s="252"/>
      <c r="I26" s="252"/>
      <c r="M26" s="253"/>
      <c r="N26" s="253"/>
      <c r="O26" s="253"/>
      <c r="P26" s="253"/>
      <c r="R26" s="58"/>
    </row>
    <row r="27" spans="2:18" x14ac:dyDescent="0.25">
      <c r="E27" s="252"/>
      <c r="F27" s="252"/>
      <c r="G27" s="252"/>
      <c r="H27" s="252"/>
      <c r="I27" s="252"/>
      <c r="M27" s="253"/>
      <c r="N27" s="253"/>
      <c r="O27" s="253"/>
      <c r="P27" s="253"/>
      <c r="R27" s="58"/>
    </row>
    <row r="28" spans="2:18" x14ac:dyDescent="0.25">
      <c r="E28" s="252"/>
      <c r="F28" s="252"/>
      <c r="G28" s="252"/>
      <c r="H28" s="252"/>
      <c r="I28" s="252"/>
      <c r="M28" s="253"/>
      <c r="N28" s="253"/>
      <c r="O28" s="253"/>
      <c r="P28" s="253"/>
      <c r="R28" s="58"/>
    </row>
    <row r="29" spans="2:18" x14ac:dyDescent="0.25">
      <c r="M29" s="253"/>
      <c r="N29" s="253"/>
      <c r="O29" s="253"/>
      <c r="P29" s="253"/>
      <c r="R29" s="58"/>
    </row>
    <row r="30" spans="2:18" x14ac:dyDescent="0.25">
      <c r="B30" s="58" t="s">
        <v>442</v>
      </c>
      <c r="E30" s="254" t="s">
        <v>446</v>
      </c>
      <c r="F30" s="254"/>
      <c r="G30" s="254"/>
      <c r="H30" s="254"/>
      <c r="I30" s="254"/>
      <c r="M30" s="253"/>
      <c r="N30" s="253"/>
      <c r="O30" s="253"/>
      <c r="P30" s="253"/>
      <c r="R30" s="58"/>
    </row>
    <row r="31" spans="2:18" x14ac:dyDescent="0.25">
      <c r="E31" s="254"/>
      <c r="F31" s="254"/>
      <c r="G31" s="254"/>
      <c r="H31" s="254"/>
      <c r="I31" s="254"/>
      <c r="M31" s="253"/>
      <c r="N31" s="253"/>
      <c r="O31" s="253"/>
      <c r="P31" s="253"/>
      <c r="R31" s="58"/>
    </row>
    <row r="32" spans="2:18" x14ac:dyDescent="0.25">
      <c r="E32" s="254"/>
      <c r="F32" s="254"/>
      <c r="G32" s="254"/>
      <c r="H32" s="254"/>
      <c r="I32" s="254"/>
      <c r="M32" s="253"/>
      <c r="N32" s="253"/>
      <c r="O32" s="253"/>
      <c r="P32" s="253"/>
      <c r="R32" s="58"/>
    </row>
    <row r="33" spans="2:18" x14ac:dyDescent="0.25">
      <c r="E33" s="254"/>
      <c r="F33" s="254"/>
      <c r="G33" s="254"/>
      <c r="H33" s="254"/>
      <c r="I33" s="254"/>
      <c r="M33" s="253"/>
      <c r="N33" s="253"/>
      <c r="O33" s="253"/>
      <c r="P33" s="253"/>
      <c r="R33" s="58"/>
    </row>
    <row r="34" spans="2:18" x14ac:dyDescent="0.25">
      <c r="E34" s="254"/>
      <c r="F34" s="254"/>
      <c r="G34" s="254"/>
      <c r="H34" s="254"/>
      <c r="I34" s="254"/>
      <c r="M34" s="253"/>
      <c r="N34" s="253"/>
      <c r="O34" s="253"/>
      <c r="P34" s="253"/>
    </row>
    <row r="36" spans="2:18" x14ac:dyDescent="0.25">
      <c r="B36" s="58" t="s">
        <v>443</v>
      </c>
      <c r="E36" s="254" t="s">
        <v>447</v>
      </c>
      <c r="F36" s="254"/>
      <c r="G36" s="254"/>
      <c r="H36" s="254"/>
      <c r="I36" s="254"/>
    </row>
    <row r="37" spans="2:18" x14ac:dyDescent="0.25">
      <c r="E37" s="254"/>
      <c r="F37" s="254"/>
      <c r="G37" s="254"/>
      <c r="H37" s="254"/>
      <c r="I37" s="254"/>
      <c r="K37" s="198" t="s">
        <v>389</v>
      </c>
      <c r="L37" s="198"/>
    </row>
    <row r="38" spans="2:18" x14ac:dyDescent="0.25">
      <c r="E38" s="254"/>
      <c r="F38" s="254"/>
      <c r="G38" s="254"/>
      <c r="H38" s="254"/>
      <c r="I38" s="254"/>
      <c r="L38" t="s">
        <v>390</v>
      </c>
      <c r="M38" s="198"/>
    </row>
    <row r="39" spans="2:18" x14ac:dyDescent="0.25">
      <c r="E39" s="254"/>
      <c r="F39" s="254"/>
      <c r="G39" s="254"/>
      <c r="H39" s="254"/>
      <c r="I39" s="254"/>
      <c r="L39" t="s">
        <v>392</v>
      </c>
    </row>
    <row r="40" spans="2:18" x14ac:dyDescent="0.25">
      <c r="E40" s="254"/>
      <c r="F40" s="254"/>
      <c r="G40" s="254"/>
      <c r="H40" s="254"/>
      <c r="I40" s="254"/>
      <c r="L40" t="s">
        <v>393</v>
      </c>
    </row>
    <row r="41" spans="2:18" x14ac:dyDescent="0.25">
      <c r="B41" s="117" t="s">
        <v>444</v>
      </c>
      <c r="C41" s="118"/>
      <c r="D41" s="118"/>
      <c r="E41" s="254" t="s">
        <v>450</v>
      </c>
      <c r="F41" s="254"/>
      <c r="G41" s="254"/>
      <c r="H41" s="254"/>
      <c r="I41" s="254"/>
      <c r="L41" t="s">
        <v>394</v>
      </c>
    </row>
    <row r="42" spans="2:18" x14ac:dyDescent="0.25">
      <c r="B42" s="118"/>
      <c r="C42" s="118"/>
      <c r="D42" s="118"/>
      <c r="E42" s="254"/>
      <c r="F42" s="254"/>
      <c r="G42" s="254"/>
      <c r="H42" s="254"/>
      <c r="I42" s="254"/>
    </row>
    <row r="43" spans="2:18" x14ac:dyDescent="0.25">
      <c r="B43" s="118"/>
      <c r="C43" s="118"/>
      <c r="D43" s="118"/>
      <c r="E43" s="254"/>
      <c r="F43" s="254"/>
      <c r="G43" s="254"/>
      <c r="H43" s="254"/>
      <c r="I43" s="254"/>
      <c r="L43" t="s">
        <v>395</v>
      </c>
    </row>
    <row r="44" spans="2:18" x14ac:dyDescent="0.25">
      <c r="B44" s="118"/>
      <c r="C44" s="118"/>
      <c r="D44" s="118"/>
      <c r="E44" s="254"/>
      <c r="F44" s="254"/>
      <c r="G44" s="254"/>
      <c r="H44" s="254"/>
      <c r="I44" s="254"/>
      <c r="L44" t="s">
        <v>396</v>
      </c>
    </row>
    <row r="45" spans="2:18" x14ac:dyDescent="0.25">
      <c r="B45" s="118"/>
      <c r="C45" s="118"/>
      <c r="D45" s="118"/>
      <c r="E45" s="254"/>
      <c r="F45" s="254"/>
      <c r="G45" s="254"/>
      <c r="H45" s="254"/>
      <c r="I45" s="254"/>
    </row>
    <row r="46" spans="2:18" x14ac:dyDescent="0.25">
      <c r="B46" s="118"/>
      <c r="C46" s="118"/>
      <c r="D46" s="118"/>
      <c r="E46" s="254"/>
      <c r="F46" s="254"/>
      <c r="G46" s="254"/>
      <c r="H46" s="254"/>
      <c r="I46" s="254"/>
    </row>
    <row r="47" spans="2:18" x14ac:dyDescent="0.25">
      <c r="B47" s="118"/>
      <c r="C47" s="118"/>
      <c r="D47" s="118"/>
      <c r="E47" s="254"/>
      <c r="F47" s="254"/>
      <c r="G47" s="254"/>
      <c r="H47" s="254"/>
      <c r="I47" s="254"/>
      <c r="K47" s="198" t="s">
        <v>404</v>
      </c>
    </row>
    <row r="48" spans="2:18" x14ac:dyDescent="0.25">
      <c r="B48" s="118"/>
      <c r="C48" s="118"/>
      <c r="D48" s="118"/>
      <c r="F48" s="118"/>
      <c r="G48" s="118"/>
      <c r="H48" s="118"/>
      <c r="I48" s="118"/>
      <c r="L48" s="58" t="s">
        <v>455</v>
      </c>
    </row>
    <row r="49" spans="2:12" x14ac:dyDescent="0.25">
      <c r="B49" s="117" t="s">
        <v>445</v>
      </c>
      <c r="C49" s="118"/>
      <c r="D49" s="118"/>
      <c r="E49" s="252" t="s">
        <v>451</v>
      </c>
      <c r="F49" s="252"/>
      <c r="G49" s="252"/>
      <c r="H49" s="252"/>
      <c r="I49" s="252"/>
      <c r="L49" t="s">
        <v>454</v>
      </c>
    </row>
    <row r="50" spans="2:12" x14ac:dyDescent="0.25">
      <c r="C50" s="118"/>
      <c r="D50" s="118"/>
      <c r="E50" s="252"/>
      <c r="F50" s="252"/>
      <c r="G50" s="252"/>
      <c r="H50" s="252"/>
      <c r="I50" s="252"/>
    </row>
    <row r="51" spans="2:12" x14ac:dyDescent="0.25">
      <c r="B51" s="118"/>
      <c r="C51" s="118"/>
      <c r="D51" s="118"/>
      <c r="E51" s="252"/>
      <c r="F51" s="252"/>
      <c r="G51" s="252"/>
      <c r="H51" s="252"/>
      <c r="I51" s="252"/>
    </row>
    <row r="52" spans="2:12" x14ac:dyDescent="0.25">
      <c r="B52" s="118"/>
      <c r="C52" s="118"/>
      <c r="D52" s="118"/>
      <c r="E52" s="252"/>
      <c r="F52" s="252"/>
      <c r="G52" s="252"/>
      <c r="H52" s="252"/>
      <c r="I52" s="252"/>
    </row>
    <row r="53" spans="2:12" x14ac:dyDescent="0.25">
      <c r="B53" s="118"/>
      <c r="C53" s="118"/>
      <c r="D53" s="118"/>
      <c r="E53" s="252"/>
      <c r="F53" s="252"/>
      <c r="G53" s="252"/>
      <c r="H53" s="252"/>
      <c r="I53" s="252"/>
    </row>
    <row r="54" spans="2:12" x14ac:dyDescent="0.25">
      <c r="B54" s="118"/>
      <c r="C54" s="118"/>
      <c r="D54" s="118"/>
      <c r="E54" s="252"/>
      <c r="F54" s="252"/>
      <c r="G54" s="252"/>
      <c r="H54" s="252"/>
      <c r="I54" s="252"/>
    </row>
    <row r="55" spans="2:12" x14ac:dyDescent="0.25">
      <c r="B55" s="118"/>
      <c r="C55" s="118"/>
      <c r="D55" s="118"/>
      <c r="E55" s="252"/>
      <c r="F55" s="252"/>
      <c r="G55" s="252"/>
      <c r="H55" s="252"/>
      <c r="I55" s="252"/>
    </row>
    <row r="56" spans="2:12" x14ac:dyDescent="0.25">
      <c r="B56" s="118"/>
      <c r="C56" s="118"/>
      <c r="D56" s="118"/>
      <c r="E56" s="252"/>
      <c r="F56" s="252"/>
      <c r="G56" s="252"/>
      <c r="H56" s="252"/>
      <c r="I56" s="252"/>
    </row>
    <row r="57" spans="2:12" x14ac:dyDescent="0.25">
      <c r="F57" s="118"/>
      <c r="G57" s="118"/>
      <c r="H57" s="118"/>
    </row>
    <row r="58" spans="2:12" x14ac:dyDescent="0.25">
      <c r="B58" s="58" t="s">
        <v>432</v>
      </c>
      <c r="E58" s="252" t="s">
        <v>448</v>
      </c>
      <c r="F58" s="252"/>
      <c r="G58" s="252"/>
      <c r="H58" s="252"/>
      <c r="I58" s="252"/>
    </row>
    <row r="59" spans="2:12" x14ac:dyDescent="0.25">
      <c r="E59" s="252"/>
      <c r="F59" s="252"/>
      <c r="G59" s="252"/>
      <c r="H59" s="252"/>
      <c r="I59" s="252"/>
    </row>
    <row r="60" spans="2:12" x14ac:dyDescent="0.25">
      <c r="E60" s="252"/>
      <c r="F60" s="252"/>
      <c r="G60" s="252"/>
      <c r="H60" s="252"/>
      <c r="I60" s="252"/>
    </row>
    <row r="61" spans="2:12" x14ac:dyDescent="0.25">
      <c r="E61" s="252"/>
      <c r="F61" s="252"/>
      <c r="G61" s="252"/>
      <c r="H61" s="252"/>
      <c r="I61" s="252"/>
    </row>
    <row r="62" spans="2:12" x14ac:dyDescent="0.25">
      <c r="E62" s="252"/>
      <c r="F62" s="252"/>
      <c r="G62" s="252"/>
      <c r="H62" s="252"/>
      <c r="I62" s="252"/>
    </row>
    <row r="63" spans="2:12" x14ac:dyDescent="0.25">
      <c r="E63" s="252"/>
      <c r="F63" s="252"/>
      <c r="G63" s="252"/>
      <c r="H63" s="252"/>
      <c r="I63" s="252"/>
    </row>
    <row r="64" spans="2:12" x14ac:dyDescent="0.25">
      <c r="F64" s="118"/>
      <c r="G64" s="118"/>
      <c r="H64" s="118"/>
    </row>
    <row r="65" spans="2:9" x14ac:dyDescent="0.25">
      <c r="B65" s="58" t="s">
        <v>440</v>
      </c>
      <c r="C65" s="118"/>
      <c r="D65" s="118"/>
      <c r="E65" s="252" t="s">
        <v>449</v>
      </c>
      <c r="F65" s="252"/>
      <c r="G65" s="252"/>
      <c r="H65" s="252"/>
      <c r="I65" s="252"/>
    </row>
    <row r="66" spans="2:9" x14ac:dyDescent="0.25">
      <c r="B66" s="58"/>
      <c r="C66" s="118"/>
      <c r="D66" s="118"/>
      <c r="E66" s="252"/>
      <c r="F66" s="252"/>
      <c r="G66" s="252"/>
      <c r="H66" s="252"/>
      <c r="I66" s="252"/>
    </row>
    <row r="67" spans="2:9" x14ac:dyDescent="0.25">
      <c r="B67" s="58"/>
      <c r="C67" s="118"/>
      <c r="D67" s="118"/>
      <c r="E67" s="252"/>
      <c r="F67" s="252"/>
      <c r="G67" s="252"/>
      <c r="H67" s="252"/>
      <c r="I67" s="252"/>
    </row>
    <row r="68" spans="2:9" x14ac:dyDescent="0.25">
      <c r="B68" s="58"/>
      <c r="C68" s="118"/>
      <c r="D68" s="118"/>
      <c r="E68" s="252"/>
      <c r="F68" s="252"/>
      <c r="G68" s="252"/>
      <c r="H68" s="252"/>
      <c r="I68" s="252"/>
    </row>
    <row r="69" spans="2:9" x14ac:dyDescent="0.25">
      <c r="B69" s="58"/>
      <c r="C69" s="118"/>
      <c r="D69" s="118"/>
      <c r="E69" s="252"/>
      <c r="F69" s="252"/>
      <c r="G69" s="252"/>
      <c r="H69" s="252"/>
      <c r="I69" s="252"/>
    </row>
    <row r="70" spans="2:9" x14ac:dyDescent="0.25">
      <c r="B70" s="58"/>
      <c r="C70" s="118"/>
      <c r="D70" s="118"/>
      <c r="E70" s="252"/>
      <c r="F70" s="252"/>
      <c r="G70" s="252"/>
      <c r="H70" s="252"/>
      <c r="I70" s="252"/>
    </row>
    <row r="71" spans="2:9" x14ac:dyDescent="0.25">
      <c r="F71" s="118"/>
      <c r="G71" s="118"/>
      <c r="H71" s="118"/>
    </row>
    <row r="73" spans="2:9" x14ac:dyDescent="0.25">
      <c r="B73" s="58" t="s">
        <v>452</v>
      </c>
      <c r="E73" s="252" t="s">
        <v>439</v>
      </c>
      <c r="F73" s="252"/>
      <c r="G73" s="252"/>
      <c r="H73" s="252"/>
      <c r="I73" s="252"/>
    </row>
    <row r="74" spans="2:9" x14ac:dyDescent="0.25">
      <c r="E74" s="252"/>
      <c r="F74" s="252"/>
      <c r="G74" s="252"/>
      <c r="H74" s="252"/>
      <c r="I74" s="252"/>
    </row>
    <row r="75" spans="2:9" x14ac:dyDescent="0.25">
      <c r="E75" s="252"/>
      <c r="F75" s="252"/>
      <c r="G75" s="252"/>
      <c r="H75" s="252"/>
      <c r="I75" s="252"/>
    </row>
    <row r="76" spans="2:9" x14ac:dyDescent="0.25">
      <c r="E76" s="252"/>
      <c r="F76" s="252"/>
      <c r="G76" s="252"/>
      <c r="H76" s="252"/>
      <c r="I76" s="252"/>
    </row>
    <row r="77" spans="2:9" x14ac:dyDescent="0.25">
      <c r="E77" s="252"/>
      <c r="F77" s="252"/>
      <c r="G77" s="252"/>
      <c r="H77" s="252"/>
      <c r="I77" s="252"/>
    </row>
    <row r="78" spans="2:9" x14ac:dyDescent="0.25">
      <c r="E78" s="252"/>
      <c r="F78" s="252"/>
      <c r="G78" s="252"/>
      <c r="H78" s="252"/>
      <c r="I78" s="252"/>
    </row>
    <row r="79" spans="2:9" x14ac:dyDescent="0.25">
      <c r="E79" s="252"/>
      <c r="F79" s="252"/>
      <c r="G79" s="252"/>
      <c r="H79" s="252"/>
      <c r="I79" s="252"/>
    </row>
    <row r="80" spans="2:9" x14ac:dyDescent="0.25">
      <c r="E80" s="252"/>
      <c r="F80" s="252"/>
      <c r="G80" s="252"/>
      <c r="H80" s="252"/>
      <c r="I80" s="252"/>
    </row>
    <row r="82" spans="2:16" x14ac:dyDescent="0.25">
      <c r="B82" s="198" t="s">
        <v>399</v>
      </c>
    </row>
    <row r="83" spans="2:16" x14ac:dyDescent="0.25">
      <c r="B83" s="247" t="s">
        <v>400</v>
      </c>
      <c r="C83" s="247"/>
      <c r="D83" s="247" t="s">
        <v>401</v>
      </c>
      <c r="E83" s="247"/>
      <c r="F83" s="247"/>
      <c r="G83" s="247"/>
      <c r="H83" s="247"/>
      <c r="I83" s="247" t="s">
        <v>402</v>
      </c>
      <c r="J83" s="247"/>
      <c r="K83" s="247"/>
      <c r="L83" s="247"/>
      <c r="M83" s="247"/>
      <c r="N83" s="247"/>
      <c r="O83" s="247"/>
      <c r="P83" s="247"/>
    </row>
    <row r="84" spans="2:16" x14ac:dyDescent="0.25">
      <c r="B84" s="251" t="s">
        <v>403</v>
      </c>
      <c r="C84" s="249"/>
      <c r="D84" s="248" t="s">
        <v>405</v>
      </c>
      <c r="E84" s="248"/>
      <c r="F84" s="248"/>
      <c r="G84" s="248"/>
      <c r="H84" s="248"/>
      <c r="I84" s="248" t="s">
        <v>408</v>
      </c>
      <c r="J84" s="249"/>
      <c r="K84" s="249"/>
      <c r="L84" s="249"/>
      <c r="M84" s="249"/>
      <c r="N84" s="249"/>
      <c r="O84" s="249"/>
      <c r="P84" s="250"/>
    </row>
    <row r="85" spans="2:16" ht="43.2" customHeight="1" x14ac:dyDescent="0.25">
      <c r="B85" s="255" t="s">
        <v>406</v>
      </c>
      <c r="C85" s="256"/>
      <c r="D85" s="257" t="s">
        <v>407</v>
      </c>
      <c r="E85" s="257"/>
      <c r="F85" s="257"/>
      <c r="G85" s="257"/>
      <c r="H85" s="257"/>
      <c r="I85" s="257" t="s">
        <v>453</v>
      </c>
      <c r="J85" s="256"/>
      <c r="K85" s="256"/>
      <c r="L85" s="256"/>
      <c r="M85" s="256"/>
      <c r="N85" s="256"/>
      <c r="O85" s="256"/>
      <c r="P85" s="258"/>
    </row>
    <row r="86" spans="2:16" ht="43.2" customHeight="1" x14ac:dyDescent="0.25">
      <c r="B86" s="259" t="s">
        <v>456</v>
      </c>
      <c r="C86" s="256"/>
      <c r="D86" s="257" t="s">
        <v>407</v>
      </c>
      <c r="E86" s="257"/>
      <c r="F86" s="257"/>
      <c r="G86" s="257"/>
      <c r="H86" s="257"/>
      <c r="I86" s="256" t="s">
        <v>457</v>
      </c>
      <c r="J86" s="256"/>
      <c r="K86" s="256"/>
      <c r="L86" s="256"/>
      <c r="M86" s="256"/>
      <c r="N86" s="256"/>
      <c r="O86" s="256"/>
      <c r="P86" s="258"/>
    </row>
    <row r="87" spans="2:16" x14ac:dyDescent="0.25">
      <c r="B87" s="259"/>
      <c r="C87" s="256"/>
      <c r="D87" s="257"/>
      <c r="E87" s="257"/>
      <c r="F87" s="257"/>
      <c r="G87" s="257"/>
      <c r="H87" s="257"/>
      <c r="I87" s="256"/>
      <c r="J87" s="256"/>
      <c r="K87" s="256"/>
      <c r="L87" s="256"/>
      <c r="M87" s="256"/>
      <c r="N87" s="256"/>
      <c r="O87" s="256"/>
      <c r="P87" s="258"/>
    </row>
    <row r="88" spans="2:16" x14ac:dyDescent="0.25">
      <c r="B88" s="259"/>
      <c r="C88" s="256"/>
      <c r="D88" s="257"/>
      <c r="E88" s="257"/>
      <c r="F88" s="257"/>
      <c r="G88" s="257"/>
      <c r="H88" s="257"/>
      <c r="I88" s="256"/>
      <c r="J88" s="256"/>
      <c r="K88" s="256"/>
      <c r="L88" s="256"/>
      <c r="M88" s="256"/>
      <c r="N88" s="256"/>
      <c r="O88" s="256"/>
      <c r="P88" s="258"/>
    </row>
    <row r="89" spans="2:16" x14ac:dyDescent="0.25">
      <c r="B89" s="259"/>
      <c r="C89" s="256"/>
      <c r="D89" s="257"/>
      <c r="E89" s="257"/>
      <c r="F89" s="257"/>
      <c r="G89" s="257"/>
      <c r="H89" s="257"/>
      <c r="I89" s="256"/>
      <c r="J89" s="256"/>
      <c r="K89" s="256"/>
      <c r="L89" s="256"/>
      <c r="M89" s="256"/>
      <c r="N89" s="256"/>
      <c r="O89" s="256"/>
      <c r="P89" s="258"/>
    </row>
    <row r="90" spans="2:16" x14ac:dyDescent="0.25">
      <c r="B90" s="259"/>
      <c r="C90" s="256"/>
      <c r="D90" s="257"/>
      <c r="E90" s="257"/>
      <c r="F90" s="257"/>
      <c r="G90" s="257"/>
      <c r="H90" s="257"/>
      <c r="I90" s="256"/>
      <c r="J90" s="256"/>
      <c r="K90" s="256"/>
      <c r="L90" s="256"/>
      <c r="M90" s="256"/>
      <c r="N90" s="256"/>
      <c r="O90" s="256"/>
      <c r="P90" s="258"/>
    </row>
    <row r="91" spans="2:16" x14ac:dyDescent="0.25">
      <c r="B91" s="259"/>
      <c r="C91" s="256"/>
      <c r="D91" s="257"/>
      <c r="E91" s="257"/>
      <c r="F91" s="257"/>
      <c r="G91" s="257"/>
      <c r="H91" s="257"/>
      <c r="I91" s="256"/>
      <c r="J91" s="256"/>
      <c r="K91" s="256"/>
      <c r="L91" s="256"/>
      <c r="M91" s="256"/>
      <c r="N91" s="256"/>
      <c r="O91" s="256"/>
      <c r="P91" s="258"/>
    </row>
    <row r="92" spans="2:16" x14ac:dyDescent="0.25">
      <c r="B92" s="259"/>
      <c r="C92" s="256"/>
      <c r="D92" s="257"/>
      <c r="E92" s="257"/>
      <c r="F92" s="257"/>
      <c r="G92" s="257"/>
      <c r="H92" s="257"/>
      <c r="I92" s="256"/>
      <c r="J92" s="256"/>
      <c r="K92" s="256"/>
      <c r="L92" s="256"/>
      <c r="M92" s="256"/>
      <c r="N92" s="256"/>
      <c r="O92" s="256"/>
      <c r="P92" s="258"/>
    </row>
    <row r="93" spans="2:16" x14ac:dyDescent="0.25">
      <c r="B93" s="260"/>
      <c r="C93" s="261"/>
      <c r="D93" s="263"/>
      <c r="E93" s="263"/>
      <c r="F93" s="263"/>
      <c r="G93" s="263"/>
      <c r="H93" s="263"/>
      <c r="I93" s="261"/>
      <c r="J93" s="261"/>
      <c r="K93" s="261"/>
      <c r="L93" s="261"/>
      <c r="M93" s="261"/>
      <c r="N93" s="261"/>
      <c r="O93" s="261"/>
      <c r="P93" s="262"/>
    </row>
  </sheetData>
  <mergeCells count="48">
    <mergeCell ref="E65:I70"/>
    <mergeCell ref="E41:I47"/>
    <mergeCell ref="E49:I56"/>
    <mergeCell ref="E58:I63"/>
    <mergeCell ref="B93:C93"/>
    <mergeCell ref="I93:P93"/>
    <mergeCell ref="D92:H92"/>
    <mergeCell ref="D93:H93"/>
    <mergeCell ref="B91:C91"/>
    <mergeCell ref="I91:P91"/>
    <mergeCell ref="D91:H91"/>
    <mergeCell ref="B92:C92"/>
    <mergeCell ref="I92:P92"/>
    <mergeCell ref="D90:H90"/>
    <mergeCell ref="D86:H86"/>
    <mergeCell ref="D87:H87"/>
    <mergeCell ref="B88:C88"/>
    <mergeCell ref="I88:P88"/>
    <mergeCell ref="B89:C89"/>
    <mergeCell ref="I89:P89"/>
    <mergeCell ref="D89:H89"/>
    <mergeCell ref="B90:C90"/>
    <mergeCell ref="I90:P90"/>
    <mergeCell ref="B85:C85"/>
    <mergeCell ref="I85:P85"/>
    <mergeCell ref="D88:H88"/>
    <mergeCell ref="D84:H84"/>
    <mergeCell ref="D85:H85"/>
    <mergeCell ref="B86:C86"/>
    <mergeCell ref="I86:P86"/>
    <mergeCell ref="B87:C87"/>
    <mergeCell ref="I87:P87"/>
    <mergeCell ref="B2:P2"/>
    <mergeCell ref="I83:P83"/>
    <mergeCell ref="B83:C83"/>
    <mergeCell ref="D83:H83"/>
    <mergeCell ref="I84:P84"/>
    <mergeCell ref="B84:C84"/>
    <mergeCell ref="K6:P11"/>
    <mergeCell ref="M22:P34"/>
    <mergeCell ref="M18:P20"/>
    <mergeCell ref="M15:P16"/>
    <mergeCell ref="E26:I28"/>
    <mergeCell ref="E30:I34"/>
    <mergeCell ref="E73:I80"/>
    <mergeCell ref="B6:I11"/>
    <mergeCell ref="B13:I20"/>
    <mergeCell ref="E36:I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H85"/>
  <sheetViews>
    <sheetView zoomScaleNormal="100" workbookViewId="0"/>
  </sheetViews>
  <sheetFormatPr defaultRowHeight="13.2" x14ac:dyDescent="0.25"/>
  <cols>
    <col min="1" max="1" width="13.109375" customWidth="1"/>
    <col min="2" max="2" width="14.33203125" customWidth="1"/>
    <col min="3" max="3" width="12.33203125" customWidth="1"/>
    <col min="4" max="4" width="13.33203125" customWidth="1"/>
    <col min="5" max="5" width="11" customWidth="1"/>
    <col min="6" max="6" width="12.109375" customWidth="1"/>
    <col min="9" max="9" width="10.109375" customWidth="1"/>
    <col min="10" max="10" width="12.109375" customWidth="1"/>
    <col min="11" max="11" width="12.33203125" customWidth="1"/>
    <col min="12" max="12" width="11.109375" customWidth="1"/>
    <col min="14" max="14" width="17" customWidth="1"/>
    <col min="17" max="17" width="10.109375" customWidth="1"/>
    <col min="32" max="32" width="13" customWidth="1"/>
    <col min="33" max="33" width="13.109375" customWidth="1"/>
    <col min="34" max="34" width="16.5546875" customWidth="1"/>
  </cols>
  <sheetData>
    <row r="1" spans="1:34" ht="13.8" thickBot="1" x14ac:dyDescent="0.3"/>
    <row r="2" spans="1:34" ht="14.4" thickTop="1" thickBot="1" x14ac:dyDescent="0.3">
      <c r="A2" s="291" t="s">
        <v>0</v>
      </c>
      <c r="B2" s="292"/>
      <c r="C2" s="292"/>
      <c r="D2" s="293"/>
      <c r="E2" s="293"/>
      <c r="F2" s="293"/>
      <c r="G2" s="293"/>
      <c r="H2" s="293"/>
      <c r="I2" s="293"/>
      <c r="J2" s="293"/>
      <c r="K2" s="293"/>
      <c r="L2" s="293"/>
      <c r="M2" s="293"/>
      <c r="AD2" s="114" t="s">
        <v>329</v>
      </c>
    </row>
    <row r="3" spans="1:34" ht="13.5" customHeight="1" x14ac:dyDescent="0.25">
      <c r="A3" s="294" t="s">
        <v>1</v>
      </c>
      <c r="B3" s="295"/>
      <c r="C3" s="295"/>
      <c r="D3" s="295"/>
      <c r="E3" s="295"/>
      <c r="F3" s="296"/>
      <c r="G3" s="297" t="s">
        <v>23</v>
      </c>
      <c r="H3" s="298"/>
      <c r="I3" s="298"/>
      <c r="J3" s="298"/>
      <c r="K3" s="298"/>
      <c r="L3" s="298"/>
      <c r="M3" s="298"/>
      <c r="Q3" s="114" t="s">
        <v>330</v>
      </c>
    </row>
    <row r="4" spans="1:34" ht="13.8" thickBot="1" x14ac:dyDescent="0.3">
      <c r="A4" s="299" t="s">
        <v>2</v>
      </c>
      <c r="B4" s="299"/>
      <c r="C4" s="300"/>
      <c r="D4" s="301" t="s">
        <v>425</v>
      </c>
      <c r="E4" s="302"/>
      <c r="F4" s="303"/>
      <c r="G4" s="304" t="s">
        <v>24</v>
      </c>
      <c r="H4" s="299"/>
      <c r="I4" s="300"/>
      <c r="J4" s="301" t="s">
        <v>428</v>
      </c>
      <c r="K4" s="302"/>
      <c r="L4" s="302"/>
      <c r="M4" s="302"/>
    </row>
    <row r="5" spans="1:34" x14ac:dyDescent="0.25">
      <c r="A5" s="283" t="s">
        <v>3</v>
      </c>
      <c r="B5" s="284"/>
      <c r="C5" s="285"/>
      <c r="D5" s="286" t="s">
        <v>426</v>
      </c>
      <c r="E5" s="287"/>
      <c r="F5" s="288"/>
      <c r="G5" s="289" t="s">
        <v>25</v>
      </c>
      <c r="H5" s="284"/>
      <c r="I5" s="285"/>
      <c r="J5" s="286" t="s">
        <v>429</v>
      </c>
      <c r="K5" s="287"/>
      <c r="L5" s="287"/>
      <c r="M5" s="287"/>
      <c r="AD5" s="272" t="s">
        <v>353</v>
      </c>
      <c r="AE5" s="272"/>
      <c r="AF5" s="272"/>
      <c r="AG5" s="272"/>
      <c r="AH5" s="272"/>
    </row>
    <row r="6" spans="1:34" ht="18.75" customHeight="1" thickBot="1" x14ac:dyDescent="0.4">
      <c r="A6" s="283" t="s">
        <v>4</v>
      </c>
      <c r="B6" s="284"/>
      <c r="C6" s="285"/>
      <c r="D6" s="290" t="s">
        <v>427</v>
      </c>
      <c r="E6" s="287"/>
      <c r="F6" s="288"/>
      <c r="G6" s="289" t="s">
        <v>26</v>
      </c>
      <c r="H6" s="284"/>
      <c r="I6" s="285"/>
      <c r="J6" s="286" t="s">
        <v>430</v>
      </c>
      <c r="K6" s="287"/>
      <c r="L6" s="287"/>
      <c r="M6" s="287"/>
      <c r="Q6" s="58" t="s">
        <v>382</v>
      </c>
      <c r="U6" s="112">
        <f>IF($I$10&gt;2000,(VLOOKUP($J$12,$AD$25:$AH$33,5,FALSE)),IF($I$10&lt;400,(VLOOKUP($J$12,$AD$25:$AH$33,3,FALSE)),(VLOOKUP($J$12,$AD$25:$AH$33,4))))</f>
        <v>1</v>
      </c>
      <c r="W6" s="58" t="s">
        <v>383</v>
      </c>
      <c r="AA6" s="112">
        <f>IF($I$10&gt;2000,(VLOOKUP($M$12,$AD$25:$AH$33,5,FALSE)),IF($I$10&lt;400,(VLOOKUP($M$12,$AD$25:$AH$33,3,FALSE)),(VLOOKUP($M$12,$AD$25:$AH$33,4))))</f>
        <v>1</v>
      </c>
      <c r="AD6" s="273"/>
      <c r="AE6" s="273"/>
      <c r="AF6" s="273"/>
      <c r="AG6" s="273"/>
      <c r="AH6" s="273"/>
    </row>
    <row r="7" spans="1:34" x14ac:dyDescent="0.25">
      <c r="A7" s="283"/>
      <c r="B7" s="283"/>
      <c r="C7" s="285"/>
      <c r="D7" s="289"/>
      <c r="E7" s="284"/>
      <c r="F7" s="285"/>
      <c r="G7" s="289" t="s">
        <v>27</v>
      </c>
      <c r="H7" s="284"/>
      <c r="I7" s="285"/>
      <c r="J7" s="313">
        <v>2019</v>
      </c>
      <c r="K7" s="314"/>
      <c r="L7" s="314"/>
      <c r="M7" s="314"/>
      <c r="AD7" s="274" t="s">
        <v>129</v>
      </c>
      <c r="AE7" s="275"/>
      <c r="AF7" s="278" t="s">
        <v>7</v>
      </c>
      <c r="AG7" s="278"/>
      <c r="AH7" s="279"/>
    </row>
    <row r="8" spans="1:34" ht="15.6" x14ac:dyDescent="0.35">
      <c r="A8" s="315" t="s">
        <v>5</v>
      </c>
      <c r="B8" s="316"/>
      <c r="C8" s="316"/>
      <c r="D8" s="316"/>
      <c r="E8" s="316"/>
      <c r="F8" s="317"/>
      <c r="G8" s="318" t="s">
        <v>28</v>
      </c>
      <c r="H8" s="317"/>
      <c r="I8" s="318" t="s">
        <v>30</v>
      </c>
      <c r="J8" s="316"/>
      <c r="K8" s="316"/>
      <c r="L8" s="316"/>
      <c r="M8" s="316"/>
      <c r="Q8" s="58" t="s">
        <v>384</v>
      </c>
      <c r="U8" s="112">
        <f>IF($J$13="Paved",(HLOOKUP($J$12,'Reference Tables (Segment)'!$S$8:$AA$12,2,FALSE)),(IF($J$13="Gravel",(HLOOKUP($J$12,'Reference Tables (Segment)'!$S$8:$AA$12,3,FALSE)),(IF($J$13="Turf",(HLOOKUP($J$12,'Reference Tables (Segment)'!$S$8:$AA$12,5,FALSE)),HLOOKUP($J$12,'Reference Tables (Segment)'!$S$8:$AA$12,4,FALSE))))))</f>
        <v>1</v>
      </c>
      <c r="W8" s="58" t="s">
        <v>385</v>
      </c>
      <c r="AA8" s="112">
        <f>IF($M$13="Paved",(HLOOKUP($M$12,'Reference Tables (Segment)'!$S$8:$AA$12,2,FALSE)),(IF($M$13="Gravel",(HLOOKUP($M$12,'Reference Tables (Segment)'!$S$8:$AA$12,3,FALSE)),(IF($M$13="Turf",(HLOOKUP($M$12,'Reference Tables (Segment)'!$S$8:$AA$12,5,FALSE)),HLOOKUP($M$12,'Reference Tables (Segment)'!$S$8:$AA$12,4,FALSE))))))</f>
        <v>1</v>
      </c>
      <c r="AD8" s="276"/>
      <c r="AE8" s="277"/>
      <c r="AF8" s="20" t="s">
        <v>135</v>
      </c>
      <c r="AG8" s="20" t="s">
        <v>136</v>
      </c>
      <c r="AH8" s="43" t="s">
        <v>137</v>
      </c>
    </row>
    <row r="9" spans="1:34" ht="13.8" thickBot="1" x14ac:dyDescent="0.3">
      <c r="A9" s="305" t="s">
        <v>6</v>
      </c>
      <c r="B9" s="305"/>
      <c r="C9" s="305"/>
      <c r="D9" s="305"/>
      <c r="E9" s="305"/>
      <c r="F9" s="306"/>
      <c r="G9" s="307" t="s">
        <v>29</v>
      </c>
      <c r="H9" s="300"/>
      <c r="I9" s="308">
        <v>1</v>
      </c>
      <c r="J9" s="302"/>
      <c r="K9" s="302"/>
      <c r="L9" s="302"/>
      <c r="M9" s="302"/>
      <c r="AD9" s="280">
        <v>9</v>
      </c>
      <c r="AE9" s="266"/>
      <c r="AF9" s="44">
        <v>1.05</v>
      </c>
      <c r="AG9" s="44">
        <f>+($I$10-400)*0.000281+1.05</f>
        <v>0.93759999999999999</v>
      </c>
      <c r="AH9" s="45">
        <v>1.5</v>
      </c>
    </row>
    <row r="10" spans="1:34" ht="16.2" thickBot="1" x14ac:dyDescent="0.4">
      <c r="A10" s="305" t="s">
        <v>7</v>
      </c>
      <c r="B10" s="305"/>
      <c r="C10" s="312"/>
      <c r="D10" s="191" t="s">
        <v>379</v>
      </c>
      <c r="E10" s="192">
        <v>17800</v>
      </c>
      <c r="F10" s="193" t="s">
        <v>380</v>
      </c>
      <c r="G10" s="309" t="s">
        <v>29</v>
      </c>
      <c r="H10" s="306"/>
      <c r="I10" s="310">
        <v>0</v>
      </c>
      <c r="J10" s="311"/>
      <c r="K10" s="311"/>
      <c r="L10" s="311"/>
      <c r="M10" s="311"/>
      <c r="N10" s="194" t="str">
        <f>IF(I10&gt;E10,"AADT out of range","AADT OK")</f>
        <v>AADT OK</v>
      </c>
      <c r="Q10" s="58" t="s">
        <v>386</v>
      </c>
      <c r="U10" s="112">
        <f>(+$U$6*$U$8-1)*(IF('Reference Tables (Segment)'!$D$23="No",(('Reference Tables (Segment)'!$G$29+'Reference Tables (Segment)'!$G$34+'Reference Tables (Segment)'!$G$36)/100),(('Reference Tables (Segment)'!$K$29+'Reference Tables (Segment)'!$K$34+'Reference Tables (Segment)'!$K$36)/100)))+1</f>
        <v>1</v>
      </c>
      <c r="W10" s="58" t="s">
        <v>387</v>
      </c>
      <c r="AA10" s="112">
        <f>(+$AA$6*$AA$8-1)*(IF('Reference Tables (Segment)'!$D$23="No",(('Reference Tables (Segment)'!$G$29+'Reference Tables (Segment)'!$G$34+'Reference Tables (Segment)'!$G$36)/100),(('Reference Tables (Segment)'!$K$29+'Reference Tables (Segment)'!$K$34+'Reference Tables (Segment)'!$K$36)/100)))+1</f>
        <v>1</v>
      </c>
      <c r="AD10" s="266">
        <v>9.5</v>
      </c>
      <c r="AE10" s="265"/>
      <c r="AF10" s="44">
        <f>+(AF9+AF11)/2</f>
        <v>1.0350000000000001</v>
      </c>
      <c r="AG10" s="44">
        <f>+(AG9+AG11)/2</f>
        <v>0.94379999999999997</v>
      </c>
      <c r="AH10" s="45">
        <f>+(AH9+AH11)/2</f>
        <v>1.4</v>
      </c>
    </row>
    <row r="11" spans="1:34" x14ac:dyDescent="0.25">
      <c r="A11" s="305" t="s">
        <v>8</v>
      </c>
      <c r="B11" s="305"/>
      <c r="C11" s="305"/>
      <c r="D11" s="305"/>
      <c r="E11" s="305"/>
      <c r="F11" s="306"/>
      <c r="G11" s="320">
        <v>12</v>
      </c>
      <c r="H11" s="306"/>
      <c r="I11" s="325">
        <v>12</v>
      </c>
      <c r="J11" s="326"/>
      <c r="K11" s="326"/>
      <c r="L11" s="326"/>
      <c r="M11" s="326"/>
      <c r="AD11" s="280">
        <v>10</v>
      </c>
      <c r="AE11" s="266"/>
      <c r="AF11" s="44">
        <v>1.02</v>
      </c>
      <c r="AG11" s="44">
        <f>+($I$10-400)*0.000175+1.02</f>
        <v>0.95000000000000007</v>
      </c>
      <c r="AH11" s="45">
        <v>1.3</v>
      </c>
    </row>
    <row r="12" spans="1:34" x14ac:dyDescent="0.25">
      <c r="A12" s="305" t="s">
        <v>9</v>
      </c>
      <c r="B12" s="305"/>
      <c r="C12" s="305"/>
      <c r="D12" s="305"/>
      <c r="E12" s="305"/>
      <c r="F12" s="306"/>
      <c r="G12" s="320">
        <v>6</v>
      </c>
      <c r="H12" s="306"/>
      <c r="I12" s="195" t="s">
        <v>381</v>
      </c>
      <c r="J12" s="197">
        <v>6</v>
      </c>
      <c r="K12" s="323" t="s">
        <v>388</v>
      </c>
      <c r="L12" s="324"/>
      <c r="M12" s="196">
        <v>6</v>
      </c>
      <c r="Q12" s="114" t="s">
        <v>331</v>
      </c>
      <c r="AD12" s="281">
        <v>10.5</v>
      </c>
      <c r="AE12" s="281"/>
      <c r="AF12" s="44">
        <f>+(AF11+AF13)/2</f>
        <v>1.0150000000000001</v>
      </c>
      <c r="AG12" s="44">
        <f>+(AG11+AG13)/2</f>
        <v>0.97500000000000009</v>
      </c>
      <c r="AH12" s="45">
        <f>+(AH11+AH13)/2</f>
        <v>1.175</v>
      </c>
    </row>
    <row r="13" spans="1:34" x14ac:dyDescent="0.25">
      <c r="A13" s="305" t="s">
        <v>10</v>
      </c>
      <c r="B13" s="305"/>
      <c r="C13" s="305"/>
      <c r="D13" s="305"/>
      <c r="E13" s="305"/>
      <c r="F13" s="306"/>
      <c r="G13" s="319" t="s">
        <v>160</v>
      </c>
      <c r="H13" s="306"/>
      <c r="I13" s="195" t="s">
        <v>381</v>
      </c>
      <c r="J13" s="197" t="s">
        <v>160</v>
      </c>
      <c r="K13" s="323" t="s">
        <v>388</v>
      </c>
      <c r="L13" s="324"/>
      <c r="M13" s="196" t="s">
        <v>160</v>
      </c>
      <c r="AD13" s="280">
        <v>11</v>
      </c>
      <c r="AE13" s="266"/>
      <c r="AF13" s="44">
        <v>1.01</v>
      </c>
      <c r="AG13" s="44">
        <f>+($I$10-400)*0.000025+1.01</f>
        <v>1</v>
      </c>
      <c r="AH13" s="45">
        <v>1.05</v>
      </c>
    </row>
    <row r="14" spans="1:34" x14ac:dyDescent="0.25">
      <c r="A14" s="305" t="s">
        <v>11</v>
      </c>
      <c r="B14" s="305"/>
      <c r="C14" s="305"/>
      <c r="D14" s="305"/>
      <c r="E14" s="305"/>
      <c r="F14" s="306"/>
      <c r="G14" s="320">
        <v>0</v>
      </c>
      <c r="H14" s="306"/>
      <c r="I14" s="321">
        <v>0</v>
      </c>
      <c r="J14" s="322"/>
      <c r="K14" s="322"/>
      <c r="L14" s="322"/>
      <c r="M14" s="322"/>
      <c r="Q14" t="s">
        <v>333</v>
      </c>
      <c r="U14" s="180">
        <f>IF($I$15&gt;0,IF($I$15&lt;=100,100,$I$15),0)</f>
        <v>0</v>
      </c>
      <c r="AD14" s="282">
        <v>11.5</v>
      </c>
      <c r="AE14" s="282"/>
      <c r="AF14" s="44">
        <f>+(AF13+AF15)/2</f>
        <v>1.0049999999999999</v>
      </c>
      <c r="AG14" s="44">
        <f>+(AG13+AG15)/2</f>
        <v>1</v>
      </c>
      <c r="AH14" s="45">
        <f>+(AH13+AH15)/2</f>
        <v>1.0249999999999999</v>
      </c>
    </row>
    <row r="15" spans="1:34" ht="13.8" thickBot="1" x14ac:dyDescent="0.3">
      <c r="A15" s="305" t="s">
        <v>12</v>
      </c>
      <c r="B15" s="305"/>
      <c r="C15" s="305"/>
      <c r="D15" s="305"/>
      <c r="E15" s="305"/>
      <c r="F15" s="306"/>
      <c r="G15" s="320">
        <v>0</v>
      </c>
      <c r="H15" s="306"/>
      <c r="I15" s="327">
        <v>0</v>
      </c>
      <c r="J15" s="328"/>
      <c r="K15" s="328"/>
      <c r="L15" s="328"/>
      <c r="M15" s="328"/>
      <c r="N15" s="18" t="str">
        <f>IF(I14&gt;0,IF(I15=0,"Value of radius must be &gt; 0","Radius Value OK"),"Radius Value OK")</f>
        <v>Radius Value OK</v>
      </c>
      <c r="AD15" s="267">
        <v>12</v>
      </c>
      <c r="AE15" s="268"/>
      <c r="AF15" s="46">
        <v>1</v>
      </c>
      <c r="AG15" s="46">
        <v>1</v>
      </c>
      <c r="AH15" s="47">
        <v>1</v>
      </c>
    </row>
    <row r="16" spans="1:34" x14ac:dyDescent="0.25">
      <c r="A16" s="305" t="s">
        <v>13</v>
      </c>
      <c r="B16" s="305"/>
      <c r="C16" s="305"/>
      <c r="D16" s="305"/>
      <c r="E16" s="305"/>
      <c r="F16" s="306"/>
      <c r="G16" s="319" t="s">
        <v>165</v>
      </c>
      <c r="H16" s="306"/>
      <c r="I16" s="325" t="s">
        <v>165</v>
      </c>
      <c r="J16" s="326"/>
      <c r="K16" s="326"/>
      <c r="L16" s="326"/>
      <c r="M16" s="326"/>
      <c r="Q16" t="s">
        <v>332</v>
      </c>
      <c r="U16" s="180">
        <f>IF($I$14&gt;0,IF($I$14&lt;=100/5280,100/5280,$I$14),0)</f>
        <v>0</v>
      </c>
      <c r="AD16" s="269" t="s">
        <v>184</v>
      </c>
      <c r="AE16" s="270"/>
      <c r="AF16" s="270"/>
      <c r="AG16" s="270"/>
      <c r="AH16" s="270"/>
    </row>
    <row r="17" spans="1:34" x14ac:dyDescent="0.25">
      <c r="A17" s="305" t="s">
        <v>14</v>
      </c>
      <c r="B17" s="305"/>
      <c r="C17" s="305"/>
      <c r="D17" s="305"/>
      <c r="E17" s="305"/>
      <c r="F17" s="306"/>
      <c r="G17" s="309" t="s">
        <v>128</v>
      </c>
      <c r="H17" s="306"/>
      <c r="I17" s="327">
        <v>0</v>
      </c>
      <c r="J17" s="328"/>
      <c r="K17" s="328"/>
      <c r="L17" s="328"/>
      <c r="M17" s="328"/>
      <c r="AD17" s="270"/>
      <c r="AE17" s="270"/>
      <c r="AF17" s="270"/>
      <c r="AG17" s="270"/>
      <c r="AH17" s="270"/>
    </row>
    <row r="18" spans="1:34" x14ac:dyDescent="0.25">
      <c r="A18" s="305" t="s">
        <v>15</v>
      </c>
      <c r="B18" s="305"/>
      <c r="C18" s="305"/>
      <c r="D18" s="305"/>
      <c r="E18" s="305"/>
      <c r="F18" s="306"/>
      <c r="G18" s="320">
        <v>0</v>
      </c>
      <c r="H18" s="306"/>
      <c r="I18" s="327">
        <v>0</v>
      </c>
      <c r="J18" s="328"/>
      <c r="K18" s="328"/>
      <c r="L18" s="328"/>
      <c r="M18" s="328"/>
      <c r="Q18" s="58" t="s">
        <v>335</v>
      </c>
      <c r="U18" s="180">
        <f>IF(I16="Present",1,IF(I16="Not Present",0,0.5))</f>
        <v>0</v>
      </c>
      <c r="AD18" s="270"/>
      <c r="AE18" s="270"/>
      <c r="AF18" s="270"/>
      <c r="AG18" s="270"/>
      <c r="AH18" s="270"/>
    </row>
    <row r="19" spans="1:34" x14ac:dyDescent="0.25">
      <c r="A19" s="305" t="s">
        <v>16</v>
      </c>
      <c r="B19" s="305"/>
      <c r="C19" s="305"/>
      <c r="D19" s="305"/>
      <c r="E19" s="305"/>
      <c r="F19" s="306"/>
      <c r="G19" s="320">
        <v>5</v>
      </c>
      <c r="H19" s="306"/>
      <c r="I19" s="330">
        <v>5</v>
      </c>
      <c r="J19" s="331"/>
      <c r="K19" s="331"/>
      <c r="L19" s="331"/>
      <c r="M19" s="331"/>
      <c r="AD19" s="271"/>
      <c r="AE19" s="271"/>
      <c r="AF19" s="271"/>
      <c r="AG19" s="271"/>
      <c r="AH19" s="271"/>
    </row>
    <row r="20" spans="1:34" ht="13.8" thickBot="1" x14ac:dyDescent="0.3">
      <c r="A20" s="305" t="s">
        <v>17</v>
      </c>
      <c r="B20" s="305"/>
      <c r="C20" s="305"/>
      <c r="D20" s="305"/>
      <c r="E20" s="305"/>
      <c r="F20" s="306"/>
      <c r="G20" s="319" t="s">
        <v>165</v>
      </c>
      <c r="H20" s="306"/>
      <c r="I20" s="325" t="s">
        <v>165</v>
      </c>
      <c r="J20" s="326"/>
      <c r="K20" s="326"/>
      <c r="L20" s="326"/>
      <c r="M20" s="326"/>
      <c r="Q20" s="58" t="s">
        <v>336</v>
      </c>
      <c r="U20" s="113">
        <f>IF($U$16&gt;0,IF($U$14&gt;0,((1.55*$U$16)+(80.2/$U$14)-(0.012*$U$18))/(1.55*$U$16),1),1)</f>
        <v>1</v>
      </c>
    </row>
    <row r="21" spans="1:34" x14ac:dyDescent="0.25">
      <c r="A21" s="329" t="s">
        <v>187</v>
      </c>
      <c r="B21" s="305"/>
      <c r="C21" s="305"/>
      <c r="D21" s="305"/>
      <c r="E21" s="305"/>
      <c r="F21" s="306"/>
      <c r="G21" s="319" t="s">
        <v>165</v>
      </c>
      <c r="H21" s="306"/>
      <c r="I21" s="325" t="s">
        <v>165</v>
      </c>
      <c r="J21" s="326"/>
      <c r="K21" s="326"/>
      <c r="L21" s="326"/>
      <c r="M21" s="326"/>
      <c r="AD21" s="272" t="s">
        <v>354</v>
      </c>
      <c r="AE21" s="272"/>
      <c r="AF21" s="272"/>
      <c r="AG21" s="272"/>
      <c r="AH21" s="272"/>
    </row>
    <row r="22" spans="1:34" ht="13.8" thickBot="1" x14ac:dyDescent="0.3">
      <c r="A22" s="305" t="s">
        <v>18</v>
      </c>
      <c r="B22" s="305"/>
      <c r="C22" s="305"/>
      <c r="D22" s="305"/>
      <c r="E22" s="305"/>
      <c r="F22" s="306"/>
      <c r="G22" s="319" t="s">
        <v>165</v>
      </c>
      <c r="H22" s="306"/>
      <c r="I22" s="325" t="s">
        <v>165</v>
      </c>
      <c r="J22" s="326"/>
      <c r="K22" s="326"/>
      <c r="L22" s="326"/>
      <c r="M22" s="326"/>
      <c r="Q22" s="58" t="s">
        <v>337</v>
      </c>
      <c r="U22" s="7">
        <f>IF($U$20&lt;1,1,$U$20)</f>
        <v>1</v>
      </c>
      <c r="AD22" s="273"/>
      <c r="AE22" s="273"/>
      <c r="AF22" s="273"/>
      <c r="AG22" s="273"/>
      <c r="AH22" s="273"/>
    </row>
    <row r="23" spans="1:34" x14ac:dyDescent="0.25">
      <c r="A23" s="305" t="s">
        <v>19</v>
      </c>
      <c r="B23" s="305"/>
      <c r="C23" s="305"/>
      <c r="D23" s="305"/>
      <c r="E23" s="305"/>
      <c r="F23" s="306"/>
      <c r="G23" s="320">
        <v>3</v>
      </c>
      <c r="H23" s="306"/>
      <c r="I23" s="325">
        <v>3</v>
      </c>
      <c r="J23" s="326"/>
      <c r="K23" s="326"/>
      <c r="L23" s="326"/>
      <c r="M23" s="326"/>
      <c r="AD23" s="274" t="s">
        <v>130</v>
      </c>
      <c r="AE23" s="275"/>
      <c r="AF23" s="278" t="s">
        <v>7</v>
      </c>
      <c r="AG23" s="278"/>
      <c r="AH23" s="279"/>
    </row>
    <row r="24" spans="1:34" x14ac:dyDescent="0.25">
      <c r="A24" s="305" t="s">
        <v>20</v>
      </c>
      <c r="B24" s="305"/>
      <c r="C24" s="305"/>
      <c r="D24" s="305"/>
      <c r="E24" s="305"/>
      <c r="F24" s="306"/>
      <c r="G24" s="319" t="s">
        <v>165</v>
      </c>
      <c r="H24" s="306"/>
      <c r="I24" s="325" t="s">
        <v>165</v>
      </c>
      <c r="J24" s="326"/>
      <c r="K24" s="326"/>
      <c r="L24" s="326"/>
      <c r="M24" s="326"/>
      <c r="AD24" s="276"/>
      <c r="AE24" s="277"/>
      <c r="AF24" s="20" t="s">
        <v>135</v>
      </c>
      <c r="AG24" s="20" t="s">
        <v>136</v>
      </c>
      <c r="AH24" s="43" t="s">
        <v>137</v>
      </c>
    </row>
    <row r="25" spans="1:34" x14ac:dyDescent="0.25">
      <c r="A25" s="305" t="s">
        <v>21</v>
      </c>
      <c r="B25" s="305"/>
      <c r="C25" s="305"/>
      <c r="D25" s="305"/>
      <c r="E25" s="305"/>
      <c r="F25" s="306"/>
      <c r="G25" s="319" t="s">
        <v>165</v>
      </c>
      <c r="H25" s="306"/>
      <c r="I25" s="325" t="s">
        <v>165</v>
      </c>
      <c r="J25" s="326"/>
      <c r="K25" s="326"/>
      <c r="L25" s="326"/>
      <c r="M25" s="326"/>
      <c r="AD25" s="280">
        <v>0</v>
      </c>
      <c r="AE25" s="266"/>
      <c r="AF25" s="44">
        <v>1.1000000000000001</v>
      </c>
      <c r="AG25" s="44">
        <f>+($I$10-400)*0.00025+1.1</f>
        <v>1</v>
      </c>
      <c r="AH25" s="45">
        <v>1.5</v>
      </c>
    </row>
    <row r="26" spans="1:34" ht="13.8" thickBot="1" x14ac:dyDescent="0.3">
      <c r="A26" s="332" t="s">
        <v>22</v>
      </c>
      <c r="B26" s="332"/>
      <c r="C26" s="332"/>
      <c r="D26" s="332"/>
      <c r="E26" s="332"/>
      <c r="F26" s="333"/>
      <c r="G26" s="334">
        <v>1</v>
      </c>
      <c r="H26" s="333"/>
      <c r="I26" s="335">
        <v>1</v>
      </c>
      <c r="J26" s="336"/>
      <c r="K26" s="336"/>
      <c r="L26" s="336"/>
      <c r="M26" s="336"/>
      <c r="AD26" s="266">
        <v>1</v>
      </c>
      <c r="AE26" s="265"/>
      <c r="AF26" s="44">
        <f>+(AF25+AF27)/2</f>
        <v>1.085</v>
      </c>
      <c r="AG26" s="44">
        <f>+(AG25+AG27)/2</f>
        <v>1.0064000000000002</v>
      </c>
      <c r="AH26" s="45">
        <f>+(AH25+AH27)/2</f>
        <v>1.4</v>
      </c>
    </row>
    <row r="27" spans="1:34" ht="13.5" customHeight="1" thickTop="1" x14ac:dyDescent="0.25">
      <c r="AD27" s="264">
        <v>2</v>
      </c>
      <c r="AE27" s="265"/>
      <c r="AF27" s="44">
        <v>1.07</v>
      </c>
      <c r="AG27" s="44">
        <f>+($I$10-400)*0.000143+1.07</f>
        <v>1.0128000000000001</v>
      </c>
      <c r="AH27" s="45">
        <v>1.3</v>
      </c>
    </row>
    <row r="28" spans="1:34" x14ac:dyDescent="0.25">
      <c r="AD28" s="266">
        <v>3</v>
      </c>
      <c r="AE28" s="265"/>
      <c r="AF28" s="44">
        <f>+(AF27+AF29)/2</f>
        <v>1.0449999999999999</v>
      </c>
      <c r="AG28" s="44">
        <f>+(AG27+AG29)/2</f>
        <v>1.0001500000000001</v>
      </c>
      <c r="AH28" s="45">
        <f>+(AH27+AH29)/2</f>
        <v>1.2250000000000001</v>
      </c>
    </row>
    <row r="29" spans="1:34" ht="13.5" customHeight="1" thickBot="1" x14ac:dyDescent="0.3">
      <c r="A29" s="8"/>
      <c r="AD29" s="264">
        <v>4</v>
      </c>
      <c r="AE29" s="265"/>
      <c r="AF29" s="44">
        <v>1.02</v>
      </c>
      <c r="AG29" s="44">
        <f>+($I$10-400)*0.00008125+1.02</f>
        <v>0.98750000000000004</v>
      </c>
      <c r="AH29" s="45">
        <v>1.1499999999999999</v>
      </c>
    </row>
    <row r="30" spans="1:34" ht="14.4" thickTop="1" thickBot="1" x14ac:dyDescent="0.3">
      <c r="A30" s="337" t="s">
        <v>31</v>
      </c>
      <c r="B30" s="338"/>
      <c r="C30" s="338"/>
      <c r="D30" s="338"/>
      <c r="E30" s="338"/>
      <c r="F30" s="338"/>
      <c r="G30" s="338"/>
      <c r="H30" s="338"/>
      <c r="I30" s="338"/>
      <c r="J30" s="338"/>
      <c r="K30" s="338"/>
      <c r="L30" s="338"/>
      <c r="M30" s="338"/>
      <c r="AD30" s="266">
        <v>5</v>
      </c>
      <c r="AE30" s="265"/>
      <c r="AF30" s="44">
        <f>+(AF29+AF31)/2</f>
        <v>1.01</v>
      </c>
      <c r="AG30" s="44">
        <f>+(AG29+AG31)/2</f>
        <v>0.99375000000000002</v>
      </c>
      <c r="AH30" s="45">
        <f>+(AH29+AH31)/2</f>
        <v>1.075</v>
      </c>
    </row>
    <row r="31" spans="1:34" x14ac:dyDescent="0.25">
      <c r="A31" s="216" t="s">
        <v>32</v>
      </c>
      <c r="B31" s="217" t="s">
        <v>33</v>
      </c>
      <c r="C31" s="218" t="s">
        <v>34</v>
      </c>
      <c r="D31" s="218" t="s">
        <v>35</v>
      </c>
      <c r="E31" s="218" t="s">
        <v>36</v>
      </c>
      <c r="F31" s="218" t="s">
        <v>37</v>
      </c>
      <c r="G31" s="218" t="s">
        <v>38</v>
      </c>
      <c r="H31" s="218" t="s">
        <v>39</v>
      </c>
      <c r="I31" s="218" t="s">
        <v>40</v>
      </c>
      <c r="J31" s="218" t="s">
        <v>41</v>
      </c>
      <c r="K31" s="218" t="s">
        <v>42</v>
      </c>
      <c r="L31" s="218" t="s">
        <v>43</v>
      </c>
      <c r="M31" s="217" t="s">
        <v>44</v>
      </c>
      <c r="AD31" s="264">
        <v>6</v>
      </c>
      <c r="AE31" s="265"/>
      <c r="AF31" s="44">
        <v>1</v>
      </c>
      <c r="AG31" s="44">
        <v>1</v>
      </c>
      <c r="AH31" s="45">
        <v>1</v>
      </c>
    </row>
    <row r="32" spans="1:34" ht="15.75" customHeight="1" x14ac:dyDescent="0.25">
      <c r="A32" s="339" t="s">
        <v>45</v>
      </c>
      <c r="B32" s="342" t="s">
        <v>46</v>
      </c>
      <c r="C32" s="342" t="s">
        <v>47</v>
      </c>
      <c r="D32" s="345" t="s">
        <v>186</v>
      </c>
      <c r="E32" s="342" t="s">
        <v>48</v>
      </c>
      <c r="F32" s="342" t="s">
        <v>49</v>
      </c>
      <c r="G32" s="342" t="s">
        <v>50</v>
      </c>
      <c r="H32" s="342" t="s">
        <v>51</v>
      </c>
      <c r="I32" s="342" t="s">
        <v>52</v>
      </c>
      <c r="J32" s="342" t="s">
        <v>53</v>
      </c>
      <c r="K32" s="342" t="s">
        <v>54</v>
      </c>
      <c r="L32" s="342" t="s">
        <v>55</v>
      </c>
      <c r="M32" s="354" t="s">
        <v>226</v>
      </c>
      <c r="AD32" s="266">
        <v>7</v>
      </c>
      <c r="AE32" s="265"/>
      <c r="AF32" s="44">
        <f>+(AF31+AF33)/2</f>
        <v>0.99</v>
      </c>
      <c r="AG32" s="44">
        <f>+(AG31+AG33)/2</f>
        <v>1.0037500000000001</v>
      </c>
      <c r="AH32" s="45">
        <f>+(AH31+AH33)/2</f>
        <v>0.93500000000000005</v>
      </c>
    </row>
    <row r="33" spans="1:34" ht="15" customHeight="1" thickBot="1" x14ac:dyDescent="0.3">
      <c r="A33" s="340"/>
      <c r="B33" s="343"/>
      <c r="C33" s="343"/>
      <c r="D33" s="343"/>
      <c r="E33" s="343"/>
      <c r="F33" s="343"/>
      <c r="G33" s="343"/>
      <c r="H33" s="343"/>
      <c r="I33" s="343"/>
      <c r="J33" s="343"/>
      <c r="K33" s="343"/>
      <c r="L33" s="343"/>
      <c r="M33" s="355"/>
      <c r="AD33" s="267">
        <v>8</v>
      </c>
      <c r="AE33" s="268"/>
      <c r="AF33" s="46">
        <v>0.98</v>
      </c>
      <c r="AG33" s="48">
        <f>+(($I$10-400)*-0.00006875)+0.98</f>
        <v>1.0075000000000001</v>
      </c>
      <c r="AH33" s="47">
        <v>0.87</v>
      </c>
    </row>
    <row r="34" spans="1:34" x14ac:dyDescent="0.25">
      <c r="A34" s="340"/>
      <c r="B34" s="343"/>
      <c r="C34" s="343"/>
      <c r="D34" s="343"/>
      <c r="E34" s="343"/>
      <c r="F34" s="343"/>
      <c r="G34" s="343"/>
      <c r="H34" s="343"/>
      <c r="I34" s="343"/>
      <c r="J34" s="343"/>
      <c r="K34" s="343"/>
      <c r="L34" s="343"/>
      <c r="M34" s="355"/>
      <c r="AD34" s="269" t="s">
        <v>185</v>
      </c>
      <c r="AE34" s="270"/>
      <c r="AF34" s="270"/>
      <c r="AG34" s="270"/>
      <c r="AH34" s="270"/>
    </row>
    <row r="35" spans="1:34" x14ac:dyDescent="0.25">
      <c r="A35" s="341"/>
      <c r="B35" s="344"/>
      <c r="C35" s="344"/>
      <c r="D35" s="344"/>
      <c r="E35" s="344"/>
      <c r="F35" s="344"/>
      <c r="G35" s="344"/>
      <c r="H35" s="344"/>
      <c r="I35" s="344"/>
      <c r="J35" s="344"/>
      <c r="K35" s="344"/>
      <c r="L35" s="344"/>
      <c r="M35" s="356"/>
      <c r="AD35" s="270"/>
      <c r="AE35" s="270"/>
      <c r="AF35" s="270"/>
      <c r="AG35" s="270"/>
      <c r="AH35" s="270"/>
    </row>
    <row r="36" spans="1:34" x14ac:dyDescent="0.25">
      <c r="A36" s="219" t="s">
        <v>56</v>
      </c>
      <c r="B36" s="220" t="s">
        <v>57</v>
      </c>
      <c r="C36" s="221" t="s">
        <v>58</v>
      </c>
      <c r="D36" s="221" t="s">
        <v>59</v>
      </c>
      <c r="E36" s="221" t="s">
        <v>60</v>
      </c>
      <c r="F36" s="221" t="s">
        <v>61</v>
      </c>
      <c r="G36" s="221" t="s">
        <v>62</v>
      </c>
      <c r="H36" s="221" t="s">
        <v>64</v>
      </c>
      <c r="I36" s="221" t="s">
        <v>63</v>
      </c>
      <c r="J36" s="221" t="s">
        <v>65</v>
      </c>
      <c r="K36" s="221" t="s">
        <v>66</v>
      </c>
      <c r="L36" s="221" t="s">
        <v>67</v>
      </c>
      <c r="M36" s="220" t="s">
        <v>68</v>
      </c>
      <c r="AD36" s="270"/>
      <c r="AE36" s="270"/>
      <c r="AF36" s="270"/>
      <c r="AG36" s="270"/>
      <c r="AH36" s="270"/>
    </row>
    <row r="37" spans="1:34" x14ac:dyDescent="0.25">
      <c r="A37" s="357" t="s">
        <v>69</v>
      </c>
      <c r="B37" s="342" t="s">
        <v>70</v>
      </c>
      <c r="C37" s="359" t="s">
        <v>71</v>
      </c>
      <c r="D37" s="342" t="s">
        <v>72</v>
      </c>
      <c r="E37" s="359" t="s">
        <v>356</v>
      </c>
      <c r="F37" s="342" t="s">
        <v>73</v>
      </c>
      <c r="G37" s="342" t="s">
        <v>74</v>
      </c>
      <c r="H37" s="342" t="s">
        <v>74</v>
      </c>
      <c r="I37" s="359" t="s">
        <v>357</v>
      </c>
      <c r="J37" s="342" t="s">
        <v>75</v>
      </c>
      <c r="K37" s="342" t="s">
        <v>76</v>
      </c>
      <c r="L37" s="342" t="s">
        <v>74</v>
      </c>
      <c r="M37" s="346" t="s">
        <v>77</v>
      </c>
      <c r="AD37" s="271"/>
      <c r="AE37" s="271"/>
      <c r="AF37" s="271"/>
      <c r="AG37" s="271"/>
      <c r="AH37" s="271"/>
    </row>
    <row r="38" spans="1:34" ht="13.5" customHeight="1" x14ac:dyDescent="0.25">
      <c r="A38" s="347"/>
      <c r="B38" s="343"/>
      <c r="C38" s="343"/>
      <c r="D38" s="343"/>
      <c r="E38" s="343"/>
      <c r="F38" s="343"/>
      <c r="G38" s="343"/>
      <c r="H38" s="343"/>
      <c r="I38" s="343"/>
      <c r="J38" s="343"/>
      <c r="K38" s="343"/>
      <c r="L38" s="343"/>
      <c r="M38" s="347"/>
    </row>
    <row r="39" spans="1:34" x14ac:dyDescent="0.25">
      <c r="A39" s="347"/>
      <c r="B39" s="343"/>
      <c r="C39" s="343"/>
      <c r="D39" s="343"/>
      <c r="E39" s="343"/>
      <c r="F39" s="343"/>
      <c r="G39" s="343"/>
      <c r="H39" s="343"/>
      <c r="I39" s="343"/>
      <c r="J39" s="343"/>
      <c r="K39" s="343"/>
      <c r="L39" s="343"/>
      <c r="M39" s="347"/>
    </row>
    <row r="40" spans="1:34" ht="13.8" thickBot="1" x14ac:dyDescent="0.3">
      <c r="A40" s="348"/>
      <c r="B40" s="358"/>
      <c r="C40" s="358"/>
      <c r="D40" s="358"/>
      <c r="E40" s="358"/>
      <c r="F40" s="358"/>
      <c r="G40" s="358"/>
      <c r="H40" s="358"/>
      <c r="I40" s="358"/>
      <c r="J40" s="358"/>
      <c r="K40" s="358"/>
      <c r="L40" s="358"/>
      <c r="M40" s="348"/>
    </row>
    <row r="41" spans="1:34" ht="13.8" thickBot="1" x14ac:dyDescent="0.3">
      <c r="A41" s="222">
        <f>((IF($I$10&gt;2000,(VLOOKUP($I$11,$AD$9:$AH$15,5,FALSE)),IF($I$10&lt;400,(VLOOKUP($I$11,$AD$9:$AH$15,3,FALSE)),(VLOOKUP($I$11,$AD$9:$AH$15,4)))))-1)*(IF( 'Reference Tables (Segment)'!D23="No", (('Reference Tables (Segment)'!$G$29+'Reference Tables (Segment)'!$G$34+'Reference Tables (Segment)'!$G$36)/100),(('Reference Tables (Segment)'!$K$29+'Reference Tables (Segment)'!$K$34+'Reference Tables (Segment)'!$K$36)/100)))+1</f>
        <v>1</v>
      </c>
      <c r="B41" s="222">
        <f>($U$10+$AA$10)/2</f>
        <v>1</v>
      </c>
      <c r="C41" s="223">
        <f>+U22</f>
        <v>1</v>
      </c>
      <c r="D41" s="223">
        <f>IF($I$17&gt;=0.02,(1.06+3*($I$17-0.02)),IF($I$17&lt;0.01,1,(1+6*($I$17-0.01))))</f>
        <v>1</v>
      </c>
      <c r="E41" s="223">
        <f>IF($I$18&gt;6,1.16,(IF($I$18&lt;=3,1,1.1)))</f>
        <v>1</v>
      </c>
      <c r="F41" s="223">
        <f>IF($I$19&gt;5,(0.322+$I$19*(0.05-0.005*LN($I$10)))/(0.322+5*(0.05-0.005*LN($I$10))),1)</f>
        <v>1</v>
      </c>
      <c r="G41" s="223">
        <f>IF(I22="Present",1,IF($I$20="Present",0.94,1))</f>
        <v>1</v>
      </c>
      <c r="H41" s="223">
        <f>IF($I$21="Present (1 lane)",0.75,IF($I$21="Present (2 lanes)", 0.65, 1))</f>
        <v>1</v>
      </c>
      <c r="I41" s="223">
        <f>IF($I$22="Not Present",1,IF($I$19&lt;=5,1,(1-(0.7*0.5*((0.0047*$I$19)+($I$19*$I$19*0.0024))/(1.199+(0.0047*$I$19)+(0.0024*$I$19*$I$19))))))</f>
        <v>1</v>
      </c>
      <c r="J41" s="223">
        <f>EXP($I$23*0.0668-0.6869)/EXP(-0.4865)</f>
        <v>1</v>
      </c>
      <c r="K41" s="223">
        <f>IF($I$24="Present",(1-((1-(0.72*IF('Reference Tables (Segment)'!$E$45="No",'Reference Tables (Segment)'!$C$49,'Reference Tables (Segment)'!$I$49))-(0.83*IF('Reference Tables (Segment)'!$E$45="No",'Reference Tables (Segment)'!$E$49,'Reference Tables (Segment)'!$K$49)))*IF('Reference Tables (Segment)'!$E$45="No",'Reference Tables (Segment)'!$F$49,'Reference Tables (Segment)'!$L$49))),1)</f>
        <v>1</v>
      </c>
      <c r="L41" s="223">
        <f>IF($I$25="Present",0.93,1)</f>
        <v>1</v>
      </c>
      <c r="M41" s="224">
        <f>+A41*B41*C41*D41*E41*F41*G41*H41*I41*J41*K41*L41</f>
        <v>1</v>
      </c>
    </row>
    <row r="42" spans="1:34" x14ac:dyDescent="0.25">
      <c r="B42" s="64"/>
    </row>
    <row r="43" spans="1:34" x14ac:dyDescent="0.25">
      <c r="B43" s="65"/>
    </row>
    <row r="44" spans="1:34" ht="13.8" thickBot="1" x14ac:dyDescent="0.3"/>
    <row r="45" spans="1:34" ht="14.4" thickTop="1" thickBot="1" x14ac:dyDescent="0.3">
      <c r="A45" s="291" t="s">
        <v>78</v>
      </c>
      <c r="B45" s="292"/>
      <c r="C45" s="292"/>
      <c r="D45" s="292"/>
      <c r="E45" s="292"/>
      <c r="F45" s="292"/>
      <c r="G45" s="292"/>
      <c r="H45" s="292"/>
      <c r="I45" s="293"/>
      <c r="J45" s="293"/>
      <c r="K45" s="293"/>
      <c r="L45" s="293"/>
      <c r="M45" s="293"/>
    </row>
    <row r="46" spans="1:34" x14ac:dyDescent="0.25">
      <c r="A46" s="349" t="s">
        <v>32</v>
      </c>
      <c r="B46" s="350"/>
      <c r="C46" s="225" t="s">
        <v>33</v>
      </c>
      <c r="D46" s="351" t="s">
        <v>34</v>
      </c>
      <c r="E46" s="350"/>
      <c r="F46" s="351" t="s">
        <v>35</v>
      </c>
      <c r="G46" s="350"/>
      <c r="H46" s="351" t="s">
        <v>36</v>
      </c>
      <c r="I46" s="350"/>
      <c r="J46" s="12" t="s">
        <v>37</v>
      </c>
      <c r="K46" s="12" t="s">
        <v>38</v>
      </c>
      <c r="L46" s="352" t="s">
        <v>39</v>
      </c>
      <c r="M46" s="353"/>
    </row>
    <row r="47" spans="1:34" ht="26.4" x14ac:dyDescent="0.25">
      <c r="A47" s="371" t="s">
        <v>79</v>
      </c>
      <c r="B47" s="300"/>
      <c r="C47" s="226" t="s">
        <v>80</v>
      </c>
      <c r="D47" s="373" t="s">
        <v>81</v>
      </c>
      <c r="E47" s="285"/>
      <c r="F47" s="363" t="s">
        <v>82</v>
      </c>
      <c r="G47" s="300"/>
      <c r="H47" s="363" t="s">
        <v>83</v>
      </c>
      <c r="I47" s="300"/>
      <c r="J47" s="4" t="s">
        <v>84</v>
      </c>
      <c r="K47" s="4" t="s">
        <v>22</v>
      </c>
      <c r="L47" s="374" t="s">
        <v>338</v>
      </c>
      <c r="M47" s="375"/>
    </row>
    <row r="48" spans="1:34" ht="39.6" x14ac:dyDescent="0.25">
      <c r="A48" s="372"/>
      <c r="B48" s="350"/>
      <c r="C48" s="227" t="s">
        <v>360</v>
      </c>
      <c r="D48" s="376" t="s">
        <v>85</v>
      </c>
      <c r="E48" s="306"/>
      <c r="F48" s="377" t="s">
        <v>361</v>
      </c>
      <c r="G48" s="306"/>
      <c r="H48" s="360" t="s">
        <v>86</v>
      </c>
      <c r="I48" s="306"/>
      <c r="J48" s="5" t="s">
        <v>87</v>
      </c>
      <c r="K48" s="6"/>
      <c r="L48" s="361" t="s">
        <v>88</v>
      </c>
      <c r="M48" s="362"/>
    </row>
    <row r="49" spans="1:13" x14ac:dyDescent="0.25">
      <c r="A49" s="305" t="s">
        <v>89</v>
      </c>
      <c r="B49" s="306"/>
      <c r="C49" s="228">
        <f>+I10*I9*365*0.000001*EXP(-0.312)</f>
        <v>0</v>
      </c>
      <c r="D49" s="364">
        <f>0.236/I9</f>
        <v>0.23599999999999999</v>
      </c>
      <c r="E49" s="365"/>
      <c r="F49" s="366">
        <f>+'Reference Tables (Segment)'!E15/100</f>
        <v>1</v>
      </c>
      <c r="G49" s="367"/>
      <c r="H49" s="366">
        <f>+C49*F49</f>
        <v>0</v>
      </c>
      <c r="I49" s="368"/>
      <c r="J49" s="112">
        <f>+M41</f>
        <v>1</v>
      </c>
      <c r="K49" s="112">
        <f>+$I$26</f>
        <v>1</v>
      </c>
      <c r="L49" s="369">
        <f>+H49*J49*K49</f>
        <v>0</v>
      </c>
      <c r="M49" s="370"/>
    </row>
    <row r="50" spans="1:13" x14ac:dyDescent="0.25">
      <c r="A50" s="305" t="s">
        <v>90</v>
      </c>
      <c r="B50" s="306"/>
      <c r="C50" s="229" t="s">
        <v>29</v>
      </c>
      <c r="D50" s="386" t="s">
        <v>29</v>
      </c>
      <c r="E50" s="317"/>
      <c r="F50" s="366">
        <f>+IF('Reference Tables (Segment)'!$D$8="No",('Reference Tables (Segment)'!$E$13/100),('Reference Tables (Segment)'!$H$13/100))</f>
        <v>0.32100000000000001</v>
      </c>
      <c r="G50" s="367"/>
      <c r="H50" s="366">
        <f>+C49*F50</f>
        <v>0</v>
      </c>
      <c r="I50" s="368"/>
      <c r="J50" s="112">
        <f>+M41</f>
        <v>1</v>
      </c>
      <c r="K50" s="112">
        <f>+$I$26</f>
        <v>1</v>
      </c>
      <c r="L50" s="369">
        <f>+H50*J50*K50</f>
        <v>0</v>
      </c>
      <c r="M50" s="370"/>
    </row>
    <row r="51" spans="1:13" ht="15.75" customHeight="1" thickBot="1" x14ac:dyDescent="0.3">
      <c r="A51" s="387" t="s">
        <v>91</v>
      </c>
      <c r="B51" s="388"/>
      <c r="C51" s="230" t="s">
        <v>29</v>
      </c>
      <c r="D51" s="389" t="s">
        <v>29</v>
      </c>
      <c r="E51" s="390"/>
      <c r="F51" s="391">
        <f>+IF('Reference Tables (Segment)'!$D$8="No",('Reference Tables (Segment)'!$E$14/100),('Reference Tables (Segment)'!$H$14/100))</f>
        <v>0.67900000000000005</v>
      </c>
      <c r="G51" s="392"/>
      <c r="H51" s="391">
        <f>+C49*F51</f>
        <v>0</v>
      </c>
      <c r="I51" s="393"/>
      <c r="J51" s="48">
        <f>+M41</f>
        <v>1</v>
      </c>
      <c r="K51" s="48">
        <f>+$I$26</f>
        <v>1</v>
      </c>
      <c r="L51" s="394">
        <f>+H51*J51*K51</f>
        <v>0</v>
      </c>
      <c r="M51" s="395"/>
    </row>
    <row r="54" spans="1:13" ht="13.8" thickBot="1" x14ac:dyDescent="0.3"/>
    <row r="55" spans="1:13" ht="14.4" thickTop="1" thickBot="1" x14ac:dyDescent="0.3">
      <c r="A55" s="291" t="s">
        <v>92</v>
      </c>
      <c r="B55" s="292"/>
      <c r="C55" s="292"/>
      <c r="D55" s="292"/>
      <c r="E55" s="292"/>
      <c r="F55" s="292"/>
      <c r="G55" s="292"/>
      <c r="H55" s="378"/>
      <c r="I55" s="378"/>
      <c r="J55" s="378"/>
      <c r="K55" s="378"/>
      <c r="L55" s="378"/>
      <c r="M55" s="378"/>
    </row>
    <row r="56" spans="1:13" x14ac:dyDescent="0.25">
      <c r="A56" s="379" t="s">
        <v>32</v>
      </c>
      <c r="B56" s="380"/>
      <c r="C56" s="12" t="s">
        <v>33</v>
      </c>
      <c r="D56" s="381" t="s">
        <v>34</v>
      </c>
      <c r="E56" s="382"/>
      <c r="F56" s="381" t="s">
        <v>35</v>
      </c>
      <c r="G56" s="382"/>
      <c r="H56" s="383" t="s">
        <v>36</v>
      </c>
      <c r="I56" s="384"/>
      <c r="J56" s="381" t="s">
        <v>37</v>
      </c>
      <c r="K56" s="382"/>
      <c r="L56" s="383" t="s">
        <v>38</v>
      </c>
      <c r="M56" s="385"/>
    </row>
    <row r="57" spans="1:13" ht="59.25" customHeight="1" x14ac:dyDescent="0.25">
      <c r="A57" s="400" t="s">
        <v>93</v>
      </c>
      <c r="B57" s="399"/>
      <c r="C57" s="4" t="s">
        <v>97</v>
      </c>
      <c r="D57" s="398" t="s">
        <v>94</v>
      </c>
      <c r="E57" s="306"/>
      <c r="F57" s="398" t="s">
        <v>95</v>
      </c>
      <c r="G57" s="399"/>
      <c r="H57" s="398" t="s">
        <v>96</v>
      </c>
      <c r="I57" s="399"/>
      <c r="J57" s="398" t="s">
        <v>98</v>
      </c>
      <c r="K57" s="399"/>
      <c r="L57" s="398" t="s">
        <v>99</v>
      </c>
      <c r="M57" s="400"/>
    </row>
    <row r="58" spans="1:13" ht="51" customHeight="1" x14ac:dyDescent="0.25">
      <c r="A58" s="400"/>
      <c r="B58" s="399"/>
      <c r="C58" s="63" t="s">
        <v>363</v>
      </c>
      <c r="D58" s="360" t="s">
        <v>100</v>
      </c>
      <c r="E58" s="402"/>
      <c r="F58" s="377" t="s">
        <v>362</v>
      </c>
      <c r="G58" s="401"/>
      <c r="H58" s="360" t="s">
        <v>101</v>
      </c>
      <c r="I58" s="402"/>
      <c r="J58" s="377" t="s">
        <v>362</v>
      </c>
      <c r="K58" s="401"/>
      <c r="L58" s="360" t="s">
        <v>102</v>
      </c>
      <c r="M58" s="403"/>
    </row>
    <row r="59" spans="1:13" x14ac:dyDescent="0.25">
      <c r="A59" s="410" t="s">
        <v>89</v>
      </c>
      <c r="B59" s="411"/>
      <c r="C59" s="7">
        <f>+C68+C75</f>
        <v>1</v>
      </c>
      <c r="D59" s="396">
        <f>+$L$49</f>
        <v>0</v>
      </c>
      <c r="E59" s="266"/>
      <c r="F59" s="396">
        <f>+F68+F75</f>
        <v>1</v>
      </c>
      <c r="G59" s="397"/>
      <c r="H59" s="396">
        <f>+$L$50</f>
        <v>0</v>
      </c>
      <c r="I59" s="266"/>
      <c r="J59" s="396">
        <v>1</v>
      </c>
      <c r="K59" s="397"/>
      <c r="L59" s="396">
        <f>+$L$51</f>
        <v>0</v>
      </c>
      <c r="M59" s="282"/>
    </row>
    <row r="60" spans="1:13" ht="13.8" thickBot="1" x14ac:dyDescent="0.3">
      <c r="A60" s="404"/>
      <c r="B60" s="405"/>
      <c r="C60" s="3"/>
      <c r="D60" s="406" t="s">
        <v>103</v>
      </c>
      <c r="E60" s="407"/>
      <c r="F60" s="408"/>
      <c r="G60" s="409"/>
      <c r="H60" s="412" t="s">
        <v>104</v>
      </c>
      <c r="I60" s="413"/>
      <c r="J60" s="414"/>
      <c r="K60" s="268"/>
      <c r="L60" s="412" t="s">
        <v>105</v>
      </c>
      <c r="M60" s="415"/>
    </row>
    <row r="61" spans="1:13" ht="13.8" thickBot="1" x14ac:dyDescent="0.3">
      <c r="A61" s="416" t="s">
        <v>106</v>
      </c>
      <c r="B61" s="417"/>
      <c r="C61" s="417"/>
      <c r="D61" s="417"/>
      <c r="E61" s="417"/>
      <c r="F61" s="417"/>
      <c r="G61" s="417"/>
      <c r="H61" s="418"/>
      <c r="I61" s="418"/>
      <c r="J61" s="418"/>
      <c r="K61" s="418"/>
      <c r="L61" s="418"/>
      <c r="M61" s="418"/>
    </row>
    <row r="62" spans="1:13" x14ac:dyDescent="0.25">
      <c r="A62" s="419" t="s">
        <v>107</v>
      </c>
      <c r="B62" s="420"/>
      <c r="C62" s="184">
        <f>IF('Reference Tables (Segment)'!$D$23="No",('Reference Tables (Segment)'!$G25/100),('Reference Tables (Segment)'!$K25/100))</f>
        <v>0.121</v>
      </c>
      <c r="D62" s="421">
        <f>+$L$49*C62</f>
        <v>0</v>
      </c>
      <c r="E62" s="422"/>
      <c r="F62" s="423">
        <f>IF('Reference Tables (Segment)'!$D$23="No",'Reference Tables (Segment)'!$E25/100,'Reference Tables (Segment)'!$I25/100)</f>
        <v>3.7999999999999999E-2</v>
      </c>
      <c r="G62" s="424"/>
      <c r="H62" s="421">
        <f>+$L$50*F62</f>
        <v>0</v>
      </c>
      <c r="I62" s="422"/>
      <c r="J62" s="423">
        <f>IF('Reference Tables (Segment)'!$D$23="No",'Reference Tables (Segment)'!$F25/100,'Reference Tables (Segment)'!$J25/100)</f>
        <v>0.184</v>
      </c>
      <c r="K62" s="424"/>
      <c r="L62" s="421">
        <f>+$L$51*J62</f>
        <v>0</v>
      </c>
      <c r="M62" s="425"/>
    </row>
    <row r="63" spans="1:13" x14ac:dyDescent="0.25">
      <c r="A63" s="410" t="s">
        <v>108</v>
      </c>
      <c r="B63" s="411"/>
      <c r="C63" s="184">
        <f>IF('Reference Tables (Segment)'!$D$23="No",('Reference Tables (Segment)'!$G26/100),('Reference Tables (Segment)'!$K26/100))</f>
        <v>2E-3</v>
      </c>
      <c r="D63" s="396">
        <f t="shared" ref="D63:D68" si="0">+$L$49*C63</f>
        <v>0</v>
      </c>
      <c r="E63" s="397"/>
      <c r="F63" s="320">
        <f>IF('Reference Tables (Segment)'!$D$23="No",'Reference Tables (Segment)'!$E26/100,'Reference Tables (Segment)'!$I26/100)</f>
        <v>4.0000000000000001E-3</v>
      </c>
      <c r="G63" s="266"/>
      <c r="H63" s="396">
        <f t="shared" ref="H63:H68" si="1">+$L$50*F63</f>
        <v>0</v>
      </c>
      <c r="I63" s="397"/>
      <c r="J63" s="320">
        <f>IF('Reference Tables (Segment)'!$D$23="No",'Reference Tables (Segment)'!$F26/100,'Reference Tables (Segment)'!$J26/100)</f>
        <v>1E-3</v>
      </c>
      <c r="K63" s="266"/>
      <c r="L63" s="396">
        <f t="shared" ref="L63:L68" si="2">+$L$51*J63</f>
        <v>0</v>
      </c>
      <c r="M63" s="426"/>
    </row>
    <row r="64" spans="1:13" x14ac:dyDescent="0.25">
      <c r="A64" s="410" t="s">
        <v>109</v>
      </c>
      <c r="B64" s="411"/>
      <c r="C64" s="184">
        <f>IF('Reference Tables (Segment)'!$D$23="No",('Reference Tables (Segment)'!$G27/100),('Reference Tables (Segment)'!$K27/100))</f>
        <v>3.0000000000000001E-3</v>
      </c>
      <c r="D64" s="396">
        <f t="shared" si="0"/>
        <v>0</v>
      </c>
      <c r="E64" s="397"/>
      <c r="F64" s="320">
        <f>IF('Reference Tables (Segment)'!$D$23="No",'Reference Tables (Segment)'!$E27/100,'Reference Tables (Segment)'!$I27/100)</f>
        <v>6.9999999999999993E-3</v>
      </c>
      <c r="G64" s="266"/>
      <c r="H64" s="396">
        <f t="shared" si="1"/>
        <v>0</v>
      </c>
      <c r="I64" s="397"/>
      <c r="J64" s="320">
        <f>IF('Reference Tables (Segment)'!$D$23="No",'Reference Tables (Segment)'!$F27/100,'Reference Tables (Segment)'!$J27/100)</f>
        <v>1E-3</v>
      </c>
      <c r="K64" s="266"/>
      <c r="L64" s="396">
        <f t="shared" si="2"/>
        <v>0</v>
      </c>
      <c r="M64" s="426"/>
    </row>
    <row r="65" spans="1:13" x14ac:dyDescent="0.25">
      <c r="A65" s="305" t="s">
        <v>110</v>
      </c>
      <c r="B65" s="306"/>
      <c r="C65" s="184">
        <f>IF('Reference Tables (Segment)'!$D$23="No",('Reference Tables (Segment)'!$G28/100),('Reference Tables (Segment)'!$K28/100))</f>
        <v>2.5000000000000001E-2</v>
      </c>
      <c r="D65" s="396">
        <f t="shared" si="0"/>
        <v>0</v>
      </c>
      <c r="E65" s="397"/>
      <c r="F65" s="320">
        <f>IF('Reference Tables (Segment)'!$D$23="No",'Reference Tables (Segment)'!$E28/100,'Reference Tables (Segment)'!$I28/100)</f>
        <v>3.7000000000000005E-2</v>
      </c>
      <c r="G65" s="266"/>
      <c r="H65" s="396">
        <f t="shared" si="1"/>
        <v>0</v>
      </c>
      <c r="I65" s="397"/>
      <c r="J65" s="320">
        <f>IF('Reference Tables (Segment)'!$D$23="No",'Reference Tables (Segment)'!$F28/100,'Reference Tables (Segment)'!$J28/100)</f>
        <v>1.4999999999999999E-2</v>
      </c>
      <c r="K65" s="266"/>
      <c r="L65" s="396">
        <f t="shared" si="2"/>
        <v>0</v>
      </c>
      <c r="M65" s="426"/>
    </row>
    <row r="66" spans="1:13" x14ac:dyDescent="0.25">
      <c r="A66" s="305" t="s">
        <v>111</v>
      </c>
      <c r="B66" s="306"/>
      <c r="C66" s="184">
        <f>IF('Reference Tables (Segment)'!$D$23="No",('Reference Tables (Segment)'!$G29/100),('Reference Tables (Segment)'!$K29/100))</f>
        <v>0.52100000000000002</v>
      </c>
      <c r="D66" s="396">
        <f t="shared" si="0"/>
        <v>0</v>
      </c>
      <c r="E66" s="397"/>
      <c r="F66" s="320">
        <f>IF('Reference Tables (Segment)'!$D$23="No",'Reference Tables (Segment)'!$E29/100,'Reference Tables (Segment)'!$I29/100)</f>
        <v>0.54500000000000004</v>
      </c>
      <c r="G66" s="266"/>
      <c r="H66" s="396">
        <f t="shared" si="1"/>
        <v>0</v>
      </c>
      <c r="I66" s="397"/>
      <c r="J66" s="320">
        <f>IF('Reference Tables (Segment)'!$D$23="No",'Reference Tables (Segment)'!$F29/100,'Reference Tables (Segment)'!$J29/100)</f>
        <v>0.505</v>
      </c>
      <c r="K66" s="266"/>
      <c r="L66" s="396">
        <f t="shared" si="2"/>
        <v>0</v>
      </c>
      <c r="M66" s="426"/>
    </row>
    <row r="67" spans="1:13" x14ac:dyDescent="0.25">
      <c r="A67" s="410" t="s">
        <v>112</v>
      </c>
      <c r="B67" s="411"/>
      <c r="C67" s="184">
        <f>IF('Reference Tables (Segment)'!$D$23="No",('Reference Tables (Segment)'!$G30/100),('Reference Tables (Segment)'!$K30/100))</f>
        <v>2.1000000000000001E-2</v>
      </c>
      <c r="D67" s="396">
        <f t="shared" si="0"/>
        <v>0</v>
      </c>
      <c r="E67" s="397"/>
      <c r="F67" s="320">
        <f>IF('Reference Tables (Segment)'!$D$23="No",'Reference Tables (Segment)'!$E30/100,'Reference Tables (Segment)'!$I30/100)</f>
        <v>6.9999999999999993E-3</v>
      </c>
      <c r="G67" s="266"/>
      <c r="H67" s="396">
        <f t="shared" si="1"/>
        <v>0</v>
      </c>
      <c r="I67" s="397"/>
      <c r="J67" s="320">
        <f>IF('Reference Tables (Segment)'!$D$23="No",'Reference Tables (Segment)'!$F30/100,'Reference Tables (Segment)'!$J30/100)</f>
        <v>2.8999999999999998E-2</v>
      </c>
      <c r="K67" s="266"/>
      <c r="L67" s="396">
        <f t="shared" si="2"/>
        <v>0</v>
      </c>
      <c r="M67" s="426"/>
    </row>
    <row r="68" spans="1:13" ht="13.8" thickBot="1" x14ac:dyDescent="0.3">
      <c r="A68" s="427" t="s">
        <v>113</v>
      </c>
      <c r="B68" s="428"/>
      <c r="C68" s="13">
        <f>+SUM(C62:C67)</f>
        <v>0.69300000000000006</v>
      </c>
      <c r="D68" s="429">
        <f t="shared" si="0"/>
        <v>0</v>
      </c>
      <c r="E68" s="430"/>
      <c r="F68" s="320">
        <f>SUM(F62:G67)</f>
        <v>0.63800000000000001</v>
      </c>
      <c r="G68" s="266"/>
      <c r="H68" s="429">
        <f t="shared" si="1"/>
        <v>0</v>
      </c>
      <c r="I68" s="430"/>
      <c r="J68" s="320">
        <f>SUM(J62:K67)</f>
        <v>0.73499999999999999</v>
      </c>
      <c r="K68" s="266"/>
      <c r="L68" s="429">
        <f t="shared" si="2"/>
        <v>0</v>
      </c>
      <c r="M68" s="431"/>
    </row>
    <row r="69" spans="1:13" ht="13.8" thickBot="1" x14ac:dyDescent="0.3">
      <c r="A69" s="416" t="s">
        <v>114</v>
      </c>
      <c r="B69" s="417"/>
      <c r="C69" s="417"/>
      <c r="D69" s="417"/>
      <c r="E69" s="417"/>
      <c r="F69" s="417"/>
      <c r="G69" s="417"/>
      <c r="H69" s="418"/>
      <c r="I69" s="418"/>
      <c r="J69" s="418"/>
      <c r="K69" s="418"/>
      <c r="L69" s="418"/>
      <c r="M69" s="418"/>
    </row>
    <row r="70" spans="1:13" x14ac:dyDescent="0.25">
      <c r="A70" s="432" t="s">
        <v>115</v>
      </c>
      <c r="B70" s="433"/>
      <c r="C70" s="184">
        <f>IF('Reference Tables (Segment)'!$D$23="No",('Reference Tables (Segment)'!$G33/100),('Reference Tables (Segment)'!$K33/100))</f>
        <v>8.5000000000000006E-2</v>
      </c>
      <c r="D70" s="396">
        <f t="shared" ref="D70:D75" si="3">+$L$49*C70</f>
        <v>0</v>
      </c>
      <c r="E70" s="397"/>
      <c r="F70" s="421">
        <f>IF('Reference Tables (Segment)'!$D$23="No",'Reference Tables (Segment)'!$E33/100,'Reference Tables (Segment)'!$I33/100)</f>
        <v>0.1</v>
      </c>
      <c r="G70" s="422"/>
      <c r="H70" s="421">
        <f t="shared" ref="H70:H75" si="4">+$L$50*F70</f>
        <v>0</v>
      </c>
      <c r="I70" s="422"/>
      <c r="J70" s="421">
        <f>IF('Reference Tables (Segment)'!$D$23="No",'Reference Tables (Segment)'!$F33/100,'Reference Tables (Segment)'!$J33/100)</f>
        <v>7.2000000000000008E-2</v>
      </c>
      <c r="K70" s="422"/>
      <c r="L70" s="421">
        <f>+$L$51*J70</f>
        <v>0</v>
      </c>
      <c r="M70" s="425"/>
    </row>
    <row r="71" spans="1:13" x14ac:dyDescent="0.25">
      <c r="A71" s="410" t="s">
        <v>116</v>
      </c>
      <c r="B71" s="411"/>
      <c r="C71" s="184">
        <f>IF('Reference Tables (Segment)'!$D$23="No",('Reference Tables (Segment)'!$G34/100),('Reference Tables (Segment)'!$K34/100))</f>
        <v>1.6E-2</v>
      </c>
      <c r="D71" s="396">
        <f t="shared" si="3"/>
        <v>0</v>
      </c>
      <c r="E71" s="397"/>
      <c r="F71" s="396">
        <f>IF('Reference Tables (Segment)'!$D$23="No",'Reference Tables (Segment)'!$E34/100,'Reference Tables (Segment)'!$I34/100)</f>
        <v>3.4000000000000002E-2</v>
      </c>
      <c r="G71" s="397"/>
      <c r="H71" s="396">
        <f t="shared" si="4"/>
        <v>0</v>
      </c>
      <c r="I71" s="397"/>
      <c r="J71" s="396">
        <f>IF('Reference Tables (Segment)'!$D$23="No",'Reference Tables (Segment)'!$F34/100,'Reference Tables (Segment)'!$J34/100)</f>
        <v>3.0000000000000001E-3</v>
      </c>
      <c r="K71" s="397"/>
      <c r="L71" s="396">
        <f>+$L$51*J71</f>
        <v>0</v>
      </c>
      <c r="M71" s="426"/>
    </row>
    <row r="72" spans="1:13" x14ac:dyDescent="0.25">
      <c r="A72" s="410" t="s">
        <v>117</v>
      </c>
      <c r="B72" s="411"/>
      <c r="C72" s="184">
        <f>IF('Reference Tables (Segment)'!$D$23="No",('Reference Tables (Segment)'!$G35/100),('Reference Tables (Segment)'!$K35/100))</f>
        <v>0.14199999999999999</v>
      </c>
      <c r="D72" s="396">
        <f t="shared" si="3"/>
        <v>0</v>
      </c>
      <c r="E72" s="397"/>
      <c r="F72" s="396">
        <f>IF('Reference Tables (Segment)'!$D$23="No",'Reference Tables (Segment)'!$E35/100,'Reference Tables (Segment)'!$I35/100)</f>
        <v>0.16399999999999998</v>
      </c>
      <c r="G72" s="397"/>
      <c r="H72" s="396">
        <f t="shared" si="4"/>
        <v>0</v>
      </c>
      <c r="I72" s="397"/>
      <c r="J72" s="396">
        <f>IF('Reference Tables (Segment)'!$D$23="No",'Reference Tables (Segment)'!$F35/100,'Reference Tables (Segment)'!$J35/100)</f>
        <v>0.122</v>
      </c>
      <c r="K72" s="397"/>
      <c r="L72" s="396">
        <f>+$L$51*J72</f>
        <v>0</v>
      </c>
      <c r="M72" s="426"/>
    </row>
    <row r="73" spans="1:13" x14ac:dyDescent="0.25">
      <c r="A73" s="410" t="s">
        <v>118</v>
      </c>
      <c r="B73" s="411"/>
      <c r="C73" s="184">
        <f>IF('Reference Tables (Segment)'!$D$23="No",('Reference Tables (Segment)'!$G36/100),('Reference Tables (Segment)'!$K36/100))</f>
        <v>3.7000000000000005E-2</v>
      </c>
      <c r="D73" s="396">
        <f t="shared" si="3"/>
        <v>0</v>
      </c>
      <c r="E73" s="397"/>
      <c r="F73" s="396">
        <f>IF('Reference Tables (Segment)'!$D$23="No",'Reference Tables (Segment)'!$E36/100,'Reference Tables (Segment)'!$I36/100)</f>
        <v>3.7999999999999999E-2</v>
      </c>
      <c r="G73" s="397"/>
      <c r="H73" s="396">
        <f t="shared" si="4"/>
        <v>0</v>
      </c>
      <c r="I73" s="397"/>
      <c r="J73" s="396">
        <f>IF('Reference Tables (Segment)'!$D$23="No",'Reference Tables (Segment)'!$F36/100,'Reference Tables (Segment)'!$J36/100)</f>
        <v>3.7999999999999999E-2</v>
      </c>
      <c r="K73" s="397"/>
      <c r="L73" s="396">
        <f>+$L$51*J73</f>
        <v>0</v>
      </c>
      <c r="M73" s="426"/>
    </row>
    <row r="74" spans="1:13" x14ac:dyDescent="0.25">
      <c r="A74" s="410" t="s">
        <v>119</v>
      </c>
      <c r="B74" s="411"/>
      <c r="C74" s="184">
        <f>IF('Reference Tables (Segment)'!$D$23="No",('Reference Tables (Segment)'!$G37/100),('Reference Tables (Segment)'!$K37/100))</f>
        <v>2.7000000000000003E-2</v>
      </c>
      <c r="D74" s="396">
        <f t="shared" si="3"/>
        <v>0</v>
      </c>
      <c r="E74" s="397"/>
      <c r="F74" s="396">
        <f>IF('Reference Tables (Segment)'!$D$23="No",'Reference Tables (Segment)'!$E37/100,'Reference Tables (Segment)'!$I37/100)</f>
        <v>2.6000000000000002E-2</v>
      </c>
      <c r="G74" s="397"/>
      <c r="H74" s="396">
        <f t="shared" si="4"/>
        <v>0</v>
      </c>
      <c r="I74" s="397"/>
      <c r="J74" s="396">
        <f>IF('Reference Tables (Segment)'!$D$23="No",'Reference Tables (Segment)'!$F37/100,'Reference Tables (Segment)'!$J37/100)</f>
        <v>0.03</v>
      </c>
      <c r="K74" s="397"/>
      <c r="L74" s="396">
        <f>+$L$51*J74</f>
        <v>0</v>
      </c>
      <c r="M74" s="426"/>
    </row>
    <row r="75" spans="1:13" ht="13.8" thickBot="1" x14ac:dyDescent="0.3">
      <c r="A75" s="434" t="s">
        <v>152</v>
      </c>
      <c r="B75" s="428"/>
      <c r="C75" s="2">
        <f>SUM(C70:C74)</f>
        <v>0.30700000000000005</v>
      </c>
      <c r="D75" s="429">
        <f t="shared" si="3"/>
        <v>0</v>
      </c>
      <c r="E75" s="430"/>
      <c r="F75" s="429">
        <f>SUM(F70:F74)</f>
        <v>0.36199999999999999</v>
      </c>
      <c r="G75" s="430"/>
      <c r="H75" s="429">
        <f t="shared" si="4"/>
        <v>0</v>
      </c>
      <c r="I75" s="430"/>
      <c r="J75" s="429">
        <f>SUM(J70:J74)</f>
        <v>0.26500000000000001</v>
      </c>
      <c r="K75" s="430"/>
      <c r="L75" s="429">
        <f>SUM(L70:L74)</f>
        <v>0</v>
      </c>
      <c r="M75" s="431"/>
    </row>
    <row r="78" spans="1:13" ht="13.8" thickBot="1" x14ac:dyDescent="0.3"/>
    <row r="79" spans="1:13" ht="14.4" thickTop="1" thickBot="1" x14ac:dyDescent="0.3">
      <c r="A79" s="291" t="s">
        <v>120</v>
      </c>
      <c r="B79" s="291"/>
      <c r="C79" s="291"/>
      <c r="D79" s="291"/>
      <c r="E79" s="291"/>
      <c r="F79" s="291"/>
      <c r="G79" s="291"/>
      <c r="H79" s="291"/>
      <c r="I79" s="291"/>
      <c r="J79" s="291"/>
      <c r="K79" s="291"/>
      <c r="L79" s="291"/>
      <c r="M79" s="291"/>
    </row>
    <row r="80" spans="1:13" x14ac:dyDescent="0.25">
      <c r="A80" s="444" t="s">
        <v>32</v>
      </c>
      <c r="B80" s="444"/>
      <c r="C80" s="445"/>
      <c r="D80" s="446" t="s">
        <v>33</v>
      </c>
      <c r="E80" s="444"/>
      <c r="F80" s="445"/>
      <c r="G80" s="447" t="s">
        <v>34</v>
      </c>
      <c r="H80" s="448"/>
      <c r="I80" s="449"/>
      <c r="J80" s="446" t="s">
        <v>35</v>
      </c>
      <c r="K80" s="445"/>
      <c r="L80" s="446" t="s">
        <v>36</v>
      </c>
      <c r="M80" s="444"/>
    </row>
    <row r="81" spans="1:13" ht="36" customHeight="1" x14ac:dyDescent="0.25">
      <c r="A81" s="435" t="s">
        <v>121</v>
      </c>
      <c r="B81" s="435"/>
      <c r="C81" s="436"/>
      <c r="D81" s="398" t="s">
        <v>364</v>
      </c>
      <c r="E81" s="400"/>
      <c r="F81" s="399"/>
      <c r="G81" s="437" t="s">
        <v>122</v>
      </c>
      <c r="H81" s="438"/>
      <c r="I81" s="439"/>
      <c r="J81" s="398" t="s">
        <v>123</v>
      </c>
      <c r="K81" s="399"/>
      <c r="L81" s="398" t="s">
        <v>124</v>
      </c>
      <c r="M81" s="400"/>
    </row>
    <row r="82" spans="1:13" x14ac:dyDescent="0.25">
      <c r="A82" s="435"/>
      <c r="B82" s="435"/>
      <c r="C82" s="436"/>
      <c r="D82" s="309" t="s">
        <v>125</v>
      </c>
      <c r="E82" s="305"/>
      <c r="F82" s="306"/>
      <c r="G82" s="440" t="s">
        <v>126</v>
      </c>
      <c r="H82" s="441"/>
      <c r="I82" s="442"/>
      <c r="J82" s="398"/>
      <c r="K82" s="399"/>
      <c r="L82" s="309" t="s">
        <v>127</v>
      </c>
      <c r="M82" s="443"/>
    </row>
    <row r="83" spans="1:13" x14ac:dyDescent="0.25">
      <c r="A83" s="460" t="s">
        <v>89</v>
      </c>
      <c r="B83" s="460"/>
      <c r="C83" s="461"/>
      <c r="D83" s="366">
        <f>+F49</f>
        <v>1</v>
      </c>
      <c r="E83" s="462"/>
      <c r="F83" s="463"/>
      <c r="G83" s="464">
        <f>+L49</f>
        <v>0</v>
      </c>
      <c r="H83" s="465"/>
      <c r="I83" s="466"/>
      <c r="J83" s="467">
        <f>+$I$9</f>
        <v>1</v>
      </c>
      <c r="K83" s="463"/>
      <c r="L83" s="468">
        <f>+G83/J83</f>
        <v>0</v>
      </c>
      <c r="M83" s="469"/>
    </row>
    <row r="84" spans="1:13" x14ac:dyDescent="0.25">
      <c r="A84" s="460" t="s">
        <v>90</v>
      </c>
      <c r="B84" s="460"/>
      <c r="C84" s="461"/>
      <c r="D84" s="366">
        <f>+F50</f>
        <v>0.32100000000000001</v>
      </c>
      <c r="E84" s="462"/>
      <c r="F84" s="463"/>
      <c r="G84" s="464">
        <f>+L50</f>
        <v>0</v>
      </c>
      <c r="H84" s="465"/>
      <c r="I84" s="466"/>
      <c r="J84" s="467">
        <f>+$I$9</f>
        <v>1</v>
      </c>
      <c r="K84" s="463"/>
      <c r="L84" s="468">
        <f>+G84/J84</f>
        <v>0</v>
      </c>
      <c r="M84" s="469"/>
    </row>
    <row r="85" spans="1:13" ht="13.8" thickBot="1" x14ac:dyDescent="0.3">
      <c r="A85" s="450" t="s">
        <v>91</v>
      </c>
      <c r="B85" s="450"/>
      <c r="C85" s="451"/>
      <c r="D85" s="391">
        <f>+F51</f>
        <v>0.67900000000000005</v>
      </c>
      <c r="E85" s="452"/>
      <c r="F85" s="453"/>
      <c r="G85" s="454">
        <f>+L51</f>
        <v>0</v>
      </c>
      <c r="H85" s="455"/>
      <c r="I85" s="456"/>
      <c r="J85" s="457">
        <f>+$I$9</f>
        <v>1</v>
      </c>
      <c r="K85" s="453"/>
      <c r="L85" s="458">
        <f>+G85/J85</f>
        <v>0</v>
      </c>
      <c r="M85" s="459"/>
    </row>
  </sheetData>
  <mergeCells count="296">
    <mergeCell ref="A85:C85"/>
    <mergeCell ref="D85:F85"/>
    <mergeCell ref="G85:I85"/>
    <mergeCell ref="J85:K85"/>
    <mergeCell ref="L85:M85"/>
    <mergeCell ref="A83:C83"/>
    <mergeCell ref="D83:F83"/>
    <mergeCell ref="G83:I83"/>
    <mergeCell ref="J83:K83"/>
    <mergeCell ref="L83:M83"/>
    <mergeCell ref="A84:C84"/>
    <mergeCell ref="D84:F84"/>
    <mergeCell ref="G84:I84"/>
    <mergeCell ref="J84:K84"/>
    <mergeCell ref="L84:M84"/>
    <mergeCell ref="A81:C82"/>
    <mergeCell ref="D81:F81"/>
    <mergeCell ref="G81:I81"/>
    <mergeCell ref="J81:K82"/>
    <mergeCell ref="L81:M81"/>
    <mergeCell ref="D82:F82"/>
    <mergeCell ref="G82:I82"/>
    <mergeCell ref="L82:M82"/>
    <mergeCell ref="A79:M79"/>
    <mergeCell ref="A80:C80"/>
    <mergeCell ref="D80:F80"/>
    <mergeCell ref="G80:I80"/>
    <mergeCell ref="J80:K80"/>
    <mergeCell ref="L80:M80"/>
    <mergeCell ref="A75:B75"/>
    <mergeCell ref="D75:E75"/>
    <mergeCell ref="F75:G75"/>
    <mergeCell ref="H75:I75"/>
    <mergeCell ref="J75:K75"/>
    <mergeCell ref="L75:M75"/>
    <mergeCell ref="A74:B74"/>
    <mergeCell ref="D74:E74"/>
    <mergeCell ref="F74:G74"/>
    <mergeCell ref="H74:I74"/>
    <mergeCell ref="J74:K74"/>
    <mergeCell ref="L74:M74"/>
    <mergeCell ref="A73:B73"/>
    <mergeCell ref="D73:E73"/>
    <mergeCell ref="F73:G73"/>
    <mergeCell ref="H73:I73"/>
    <mergeCell ref="J73:K73"/>
    <mergeCell ref="L73:M73"/>
    <mergeCell ref="A72:B72"/>
    <mergeCell ref="D72:E72"/>
    <mergeCell ref="F72:G72"/>
    <mergeCell ref="H72:I72"/>
    <mergeCell ref="J72:K72"/>
    <mergeCell ref="L72:M72"/>
    <mergeCell ref="A71:B71"/>
    <mergeCell ref="D71:E71"/>
    <mergeCell ref="F71:G71"/>
    <mergeCell ref="H71:I71"/>
    <mergeCell ref="J71:K71"/>
    <mergeCell ref="L71:M71"/>
    <mergeCell ref="A69:M69"/>
    <mergeCell ref="A70:B70"/>
    <mergeCell ref="D70:E70"/>
    <mergeCell ref="F70:G70"/>
    <mergeCell ref="H70:I70"/>
    <mergeCell ref="J70:K70"/>
    <mergeCell ref="L70:M70"/>
    <mergeCell ref="A68:B68"/>
    <mergeCell ref="D68:E68"/>
    <mergeCell ref="F68:G68"/>
    <mergeCell ref="H68:I68"/>
    <mergeCell ref="J68:K68"/>
    <mergeCell ref="L68:M68"/>
    <mergeCell ref="A67:B67"/>
    <mergeCell ref="D67:E67"/>
    <mergeCell ref="F67:G67"/>
    <mergeCell ref="H67:I67"/>
    <mergeCell ref="J67:K67"/>
    <mergeCell ref="L67:M67"/>
    <mergeCell ref="A66:B66"/>
    <mergeCell ref="D66:E66"/>
    <mergeCell ref="F66:G66"/>
    <mergeCell ref="H66:I66"/>
    <mergeCell ref="J66:K66"/>
    <mergeCell ref="L66:M66"/>
    <mergeCell ref="A65:B65"/>
    <mergeCell ref="D65:E65"/>
    <mergeCell ref="F65:G65"/>
    <mergeCell ref="H65:I65"/>
    <mergeCell ref="J65:K65"/>
    <mergeCell ref="L65:M65"/>
    <mergeCell ref="A64:B64"/>
    <mergeCell ref="D64:E64"/>
    <mergeCell ref="F64:G64"/>
    <mergeCell ref="H64:I64"/>
    <mergeCell ref="J64:K64"/>
    <mergeCell ref="L64:M64"/>
    <mergeCell ref="A63:B63"/>
    <mergeCell ref="D63:E63"/>
    <mergeCell ref="F63:G63"/>
    <mergeCell ref="H63:I63"/>
    <mergeCell ref="J63:K63"/>
    <mergeCell ref="L63:M63"/>
    <mergeCell ref="H60:I60"/>
    <mergeCell ref="J60:K60"/>
    <mergeCell ref="L60:M60"/>
    <mergeCell ref="A61:M61"/>
    <mergeCell ref="A62:B62"/>
    <mergeCell ref="D62:E62"/>
    <mergeCell ref="F62:G62"/>
    <mergeCell ref="H62:I62"/>
    <mergeCell ref="J62:K62"/>
    <mergeCell ref="L62:M62"/>
    <mergeCell ref="A57:B58"/>
    <mergeCell ref="D57:E57"/>
    <mergeCell ref="F57:G57"/>
    <mergeCell ref="A60:B60"/>
    <mergeCell ref="D60:E60"/>
    <mergeCell ref="F60:G60"/>
    <mergeCell ref="A59:B59"/>
    <mergeCell ref="D59:E59"/>
    <mergeCell ref="F59:G59"/>
    <mergeCell ref="D58:E58"/>
    <mergeCell ref="H59:I59"/>
    <mergeCell ref="J59:K59"/>
    <mergeCell ref="L59:M59"/>
    <mergeCell ref="H57:I57"/>
    <mergeCell ref="J57:K57"/>
    <mergeCell ref="L57:M57"/>
    <mergeCell ref="F58:G58"/>
    <mergeCell ref="H58:I58"/>
    <mergeCell ref="J58:K58"/>
    <mergeCell ref="L58:M58"/>
    <mergeCell ref="A55:M55"/>
    <mergeCell ref="A56:B56"/>
    <mergeCell ref="D56:E56"/>
    <mergeCell ref="F56:G56"/>
    <mergeCell ref="H56:I56"/>
    <mergeCell ref="J56:K56"/>
    <mergeCell ref="L56:M56"/>
    <mergeCell ref="A50:B50"/>
    <mergeCell ref="D50:E50"/>
    <mergeCell ref="F50:G50"/>
    <mergeCell ref="H50:I50"/>
    <mergeCell ref="L50:M50"/>
    <mergeCell ref="A51:B51"/>
    <mergeCell ref="D51:E51"/>
    <mergeCell ref="F51:G51"/>
    <mergeCell ref="H51:I51"/>
    <mergeCell ref="L51:M51"/>
    <mergeCell ref="H48:I48"/>
    <mergeCell ref="L48:M48"/>
    <mergeCell ref="F47:G47"/>
    <mergeCell ref="H47:I47"/>
    <mergeCell ref="A49:B49"/>
    <mergeCell ref="D49:E49"/>
    <mergeCell ref="F49:G49"/>
    <mergeCell ref="H49:I49"/>
    <mergeCell ref="L49:M49"/>
    <mergeCell ref="A47:B48"/>
    <mergeCell ref="D47:E47"/>
    <mergeCell ref="L47:M47"/>
    <mergeCell ref="D48:E48"/>
    <mergeCell ref="F48:G48"/>
    <mergeCell ref="M37:M40"/>
    <mergeCell ref="A45:M45"/>
    <mergeCell ref="A46:B46"/>
    <mergeCell ref="D46:E46"/>
    <mergeCell ref="F46:G46"/>
    <mergeCell ref="H46:I46"/>
    <mergeCell ref="L46:M46"/>
    <mergeCell ref="M32:M35"/>
    <mergeCell ref="A37:A40"/>
    <mergeCell ref="B37:B40"/>
    <mergeCell ref="C37:C40"/>
    <mergeCell ref="D37:D40"/>
    <mergeCell ref="E37:E40"/>
    <mergeCell ref="F37:F40"/>
    <mergeCell ref="J37:J40"/>
    <mergeCell ref="K37:K40"/>
    <mergeCell ref="L37:L40"/>
    <mergeCell ref="G37:G40"/>
    <mergeCell ref="H37:H40"/>
    <mergeCell ref="I37:I40"/>
    <mergeCell ref="A30:M30"/>
    <mergeCell ref="A32:A35"/>
    <mergeCell ref="B32:B35"/>
    <mergeCell ref="C32:C35"/>
    <mergeCell ref="D32:D35"/>
    <mergeCell ref="E32:E35"/>
    <mergeCell ref="F32:F35"/>
    <mergeCell ref="G32:G35"/>
    <mergeCell ref="H32:H35"/>
    <mergeCell ref="I32:I35"/>
    <mergeCell ref="J32:J35"/>
    <mergeCell ref="K32:K35"/>
    <mergeCell ref="L32:L35"/>
    <mergeCell ref="A25:F25"/>
    <mergeCell ref="G25:H25"/>
    <mergeCell ref="I25:M25"/>
    <mergeCell ref="A26:F26"/>
    <mergeCell ref="G26:H26"/>
    <mergeCell ref="I26:M26"/>
    <mergeCell ref="A23:F23"/>
    <mergeCell ref="G23:H23"/>
    <mergeCell ref="I23:M23"/>
    <mergeCell ref="A24:F24"/>
    <mergeCell ref="G24:H24"/>
    <mergeCell ref="I24:M24"/>
    <mergeCell ref="A21:F21"/>
    <mergeCell ref="G21:H21"/>
    <mergeCell ref="I21:M21"/>
    <mergeCell ref="A22:F22"/>
    <mergeCell ref="G22:H22"/>
    <mergeCell ref="I22:M22"/>
    <mergeCell ref="A19:F19"/>
    <mergeCell ref="G19:H19"/>
    <mergeCell ref="I19:M19"/>
    <mergeCell ref="A20:F20"/>
    <mergeCell ref="G20:H20"/>
    <mergeCell ref="I20:M20"/>
    <mergeCell ref="A17:F17"/>
    <mergeCell ref="G17:H17"/>
    <mergeCell ref="I17:M17"/>
    <mergeCell ref="A18:F18"/>
    <mergeCell ref="G18:H18"/>
    <mergeCell ref="I18:M18"/>
    <mergeCell ref="A15:F15"/>
    <mergeCell ref="G15:H15"/>
    <mergeCell ref="I15:M15"/>
    <mergeCell ref="A16:F16"/>
    <mergeCell ref="G16:H16"/>
    <mergeCell ref="I16:M16"/>
    <mergeCell ref="G13:H13"/>
    <mergeCell ref="A14:F14"/>
    <mergeCell ref="G14:H14"/>
    <mergeCell ref="I14:M14"/>
    <mergeCell ref="K13:L13"/>
    <mergeCell ref="A13:F13"/>
    <mergeCell ref="A11:F11"/>
    <mergeCell ref="G11:H11"/>
    <mergeCell ref="I11:M11"/>
    <mergeCell ref="G12:H12"/>
    <mergeCell ref="K12:L12"/>
    <mergeCell ref="A12:F12"/>
    <mergeCell ref="A9:F9"/>
    <mergeCell ref="G9:H9"/>
    <mergeCell ref="I9:M9"/>
    <mergeCell ref="G10:H10"/>
    <mergeCell ref="I10:M10"/>
    <mergeCell ref="A10:C10"/>
    <mergeCell ref="A7:C7"/>
    <mergeCell ref="D7:F7"/>
    <mergeCell ref="G7:I7"/>
    <mergeCell ref="J7:M7"/>
    <mergeCell ref="A8:F8"/>
    <mergeCell ref="G8:H8"/>
    <mergeCell ref="I8:M8"/>
    <mergeCell ref="A5:C5"/>
    <mergeCell ref="D5:F5"/>
    <mergeCell ref="G5:I5"/>
    <mergeCell ref="J5:M5"/>
    <mergeCell ref="A6:C6"/>
    <mergeCell ref="D6:F6"/>
    <mergeCell ref="G6:I6"/>
    <mergeCell ref="J6:M6"/>
    <mergeCell ref="A2:M2"/>
    <mergeCell ref="A3:F3"/>
    <mergeCell ref="G3:M3"/>
    <mergeCell ref="A4:C4"/>
    <mergeCell ref="D4:F4"/>
    <mergeCell ref="G4:I4"/>
    <mergeCell ref="J4:M4"/>
    <mergeCell ref="AD5:AH6"/>
    <mergeCell ref="AD7:AE8"/>
    <mergeCell ref="AF7:AH7"/>
    <mergeCell ref="AD9:AE9"/>
    <mergeCell ref="AD10:AE10"/>
    <mergeCell ref="AD11:AE11"/>
    <mergeCell ref="AD12:AE12"/>
    <mergeCell ref="AD13:AE13"/>
    <mergeCell ref="AD14:AE14"/>
    <mergeCell ref="AD29:AE29"/>
    <mergeCell ref="AD30:AE30"/>
    <mergeCell ref="AD31:AE31"/>
    <mergeCell ref="AD32:AE32"/>
    <mergeCell ref="AD33:AE33"/>
    <mergeCell ref="AD34:AH37"/>
    <mergeCell ref="AD15:AE15"/>
    <mergeCell ref="AD16:AH19"/>
    <mergeCell ref="AD21:AH22"/>
    <mergeCell ref="AD23:AE24"/>
    <mergeCell ref="AF23:AH23"/>
    <mergeCell ref="AD25:AE25"/>
    <mergeCell ref="AD26:AE26"/>
    <mergeCell ref="AD27:AE27"/>
    <mergeCell ref="AD28:AE28"/>
  </mergeCells>
  <conditionalFormatting sqref="I10:M10">
    <cfRule type="cellIs" dxfId="3" priority="2" stopIfTrue="1" operator="greaterThan">
      <formula>$E$10</formula>
    </cfRule>
  </conditionalFormatting>
  <conditionalFormatting sqref="I10:M10">
    <cfRule type="cellIs" dxfId="2" priority="1" stopIfTrue="1" operator="greaterThan">
      <formula>$E$10</formula>
    </cfRule>
  </conditionalFormatting>
  <dataValidations count="16">
    <dataValidation type="list" allowBlank="1" showInputMessage="1" showErrorMessage="1" sqref="M13 J13" xr:uid="{00000000-0002-0000-0100-000000000000}">
      <formula1>SType</formula1>
    </dataValidation>
    <dataValidation type="list" allowBlank="1" showInputMessage="1" showErrorMessage="1" sqref="M12 J12" xr:uid="{00000000-0002-0000-0100-000001000000}">
      <formula1>SWidth</formula1>
    </dataValidation>
    <dataValidation type="decimal" allowBlank="1" showInputMessage="1" showErrorMessage="1" sqref="I26:M26" xr:uid="{00000000-0002-0000-0100-000002000000}">
      <formula1>0</formula1>
      <formula2>10</formula2>
    </dataValidation>
    <dataValidation type="decimal" operator="greaterThanOrEqual" allowBlank="1" showInputMessage="1" showErrorMessage="1" sqref="I14:M14 I18:M19" xr:uid="{00000000-0002-0000-0100-000003000000}">
      <formula1>0</formula1>
    </dataValidation>
    <dataValidation type="whole" operator="greaterThanOrEqual" allowBlank="1" showInputMessage="1" showErrorMessage="1" sqref="I15:M15" xr:uid="{00000000-0002-0000-0100-000004000000}">
      <formula1>0</formula1>
    </dataValidation>
    <dataValidation type="whole" operator="greaterThan" allowBlank="1" showInputMessage="1" showErrorMessage="1" sqref="J7:M7" xr:uid="{00000000-0002-0000-0100-000005000000}">
      <formula1>1990</formula1>
    </dataValidation>
    <dataValidation type="decimal" operator="greaterThan" allowBlank="1" showInputMessage="1" showErrorMessage="1" sqref="I9:M9" xr:uid="{00000000-0002-0000-0100-000006000000}">
      <formula1>0</formula1>
    </dataValidation>
    <dataValidation type="whole" allowBlank="1" showInputMessage="1" showErrorMessage="1" promptTitle="SPF based on 17,800 vpd maximum" sqref="I10:M10" xr:uid="{00000000-0002-0000-0100-000007000000}">
      <formula1>0</formula1>
      <formula2>17800</formula2>
    </dataValidation>
    <dataValidation type="list" allowBlank="1" showInputMessage="1" showErrorMessage="1" errorTitle="Invalid" sqref="I25:M25" xr:uid="{00000000-0002-0000-0100-000008000000}">
      <formula1>SpEnforce</formula1>
    </dataValidation>
    <dataValidation type="list" allowBlank="1" showInputMessage="1" showErrorMessage="1" sqref="I24:M24" xr:uid="{00000000-0002-0000-0100-000009000000}">
      <formula1>Lighting</formula1>
    </dataValidation>
    <dataValidation type="list" allowBlank="1" showInputMessage="1" showErrorMessage="1" sqref="I22:M22" xr:uid="{00000000-0002-0000-0100-00000A000000}">
      <formula1>TWLTL</formula1>
    </dataValidation>
    <dataValidation type="list" allowBlank="1" showInputMessage="1" showErrorMessage="1" sqref="I21:M21" xr:uid="{00000000-0002-0000-0100-00000B000000}">
      <formula1>PLane2</formula1>
    </dataValidation>
    <dataValidation type="list" allowBlank="1" showInputMessage="1" showErrorMessage="1" sqref="I20:M20" xr:uid="{00000000-0002-0000-0100-00000C000000}">
      <formula1>CRumble</formula1>
    </dataValidation>
    <dataValidation type="list" allowBlank="1" showInputMessage="1" showErrorMessage="1" sqref="I16:M16" xr:uid="{00000000-0002-0000-0100-00000D000000}">
      <formula1>Spiral2</formula1>
    </dataValidation>
    <dataValidation type="list" allowBlank="1" showInputMessage="1" showErrorMessage="1" sqref="I23:M23" xr:uid="{00000000-0002-0000-0100-00000E000000}">
      <formula1>RHR</formula1>
    </dataValidation>
    <dataValidation type="list" allowBlank="1" showInputMessage="1" showErrorMessage="1" sqref="I11:M11" xr:uid="{00000000-0002-0000-0100-00000F000000}">
      <formula1>LWidth</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J84"/>
  <sheetViews>
    <sheetView zoomScaleNormal="100" workbookViewId="0"/>
  </sheetViews>
  <sheetFormatPr defaultRowHeight="13.2" x14ac:dyDescent="0.25"/>
  <cols>
    <col min="1" max="1" width="14.33203125" customWidth="1"/>
    <col min="2" max="2" width="15.88671875" customWidth="1"/>
    <col min="3" max="3" width="14.33203125" customWidth="1"/>
    <col min="4" max="4" width="12" customWidth="1"/>
    <col min="5" max="5" width="13.6640625" customWidth="1"/>
    <col min="6" max="6" width="13.33203125" customWidth="1"/>
    <col min="7" max="7" width="10.88671875" customWidth="1"/>
    <col min="8" max="8" width="12.44140625" customWidth="1"/>
    <col min="9" max="9" width="18.44140625" customWidth="1"/>
    <col min="10" max="10" width="15.33203125" customWidth="1"/>
    <col min="11" max="11" width="15.5546875" customWidth="1"/>
    <col min="12" max="12" width="17.44140625" customWidth="1"/>
    <col min="13" max="13" width="14.5546875" customWidth="1"/>
    <col min="17" max="17" width="11" customWidth="1"/>
    <col min="18" max="18" width="12.44140625" customWidth="1"/>
    <col min="19" max="19" width="10.44140625" customWidth="1"/>
    <col min="20" max="20" width="10.6640625" customWidth="1"/>
    <col min="21" max="21" width="12.44140625" customWidth="1"/>
    <col min="22" max="22" width="10.44140625" customWidth="1"/>
    <col min="23" max="23" width="11.6640625" customWidth="1"/>
    <col min="24" max="24" width="10.44140625" customWidth="1"/>
    <col min="27" max="27" width="10.109375" customWidth="1"/>
  </cols>
  <sheetData>
    <row r="1" spans="1:36" ht="13.8" thickBot="1" x14ac:dyDescent="0.3">
      <c r="Z1" s="67"/>
      <c r="AA1" s="67"/>
      <c r="AB1" s="67"/>
      <c r="AC1" s="67"/>
      <c r="AD1" s="67"/>
      <c r="AE1" s="67"/>
      <c r="AF1" s="67"/>
      <c r="AG1" s="67"/>
      <c r="AH1" s="67"/>
      <c r="AI1" s="67"/>
      <c r="AJ1" s="67"/>
    </row>
    <row r="2" spans="1:36" ht="14.25" customHeight="1" thickTop="1" thickBot="1" x14ac:dyDescent="0.3">
      <c r="A2" s="291" t="s">
        <v>204</v>
      </c>
      <c r="B2" s="292"/>
      <c r="C2" s="292"/>
      <c r="D2" s="293"/>
      <c r="E2" s="293"/>
      <c r="F2" s="293"/>
      <c r="G2" s="293"/>
      <c r="H2" s="293"/>
      <c r="I2" s="293"/>
      <c r="J2" s="293"/>
      <c r="K2" s="293"/>
      <c r="L2" s="293"/>
      <c r="M2" s="293"/>
      <c r="Z2" s="67"/>
      <c r="AA2" s="97"/>
      <c r="AB2" s="97"/>
      <c r="AC2" s="97"/>
      <c r="AD2" s="97"/>
      <c r="AE2" s="97"/>
      <c r="AF2" s="97"/>
      <c r="AG2" s="97"/>
      <c r="AH2" s="97"/>
      <c r="AI2" s="97"/>
      <c r="AJ2" s="97"/>
    </row>
    <row r="3" spans="1:36" ht="13.5" customHeight="1" x14ac:dyDescent="0.25">
      <c r="A3" s="294" t="s">
        <v>1</v>
      </c>
      <c r="B3" s="295"/>
      <c r="C3" s="295"/>
      <c r="D3" s="295"/>
      <c r="E3" s="295"/>
      <c r="F3" s="296"/>
      <c r="G3" s="297" t="s">
        <v>23</v>
      </c>
      <c r="H3" s="298"/>
      <c r="I3" s="298"/>
      <c r="J3" s="298"/>
      <c r="K3" s="298"/>
      <c r="L3" s="298"/>
      <c r="M3" s="298"/>
      <c r="Z3" s="67"/>
      <c r="AA3" s="97"/>
      <c r="AB3" s="97"/>
      <c r="AC3" s="97"/>
      <c r="AD3" s="97"/>
      <c r="AE3" s="97"/>
      <c r="AF3" s="97"/>
      <c r="AG3" s="97"/>
      <c r="AH3" s="97"/>
      <c r="AI3" s="97"/>
      <c r="AJ3" s="97"/>
    </row>
    <row r="4" spans="1:36" x14ac:dyDescent="0.25">
      <c r="A4" s="299" t="s">
        <v>2</v>
      </c>
      <c r="B4" s="299"/>
      <c r="C4" s="300"/>
      <c r="D4" s="301" t="s">
        <v>425</v>
      </c>
      <c r="E4" s="302"/>
      <c r="F4" s="303"/>
      <c r="G4" s="304" t="s">
        <v>24</v>
      </c>
      <c r="H4" s="299"/>
      <c r="I4" s="300"/>
      <c r="J4" s="301" t="s">
        <v>428</v>
      </c>
      <c r="K4" s="302"/>
      <c r="L4" s="302"/>
      <c r="M4" s="302"/>
      <c r="Z4" s="67"/>
      <c r="AA4" s="97"/>
      <c r="AB4" s="97"/>
      <c r="AC4" s="97"/>
      <c r="AD4" s="97"/>
      <c r="AE4" s="97"/>
      <c r="AF4" s="97"/>
      <c r="AG4" s="97"/>
      <c r="AH4" s="97"/>
      <c r="AI4" s="97"/>
      <c r="AJ4" s="97"/>
    </row>
    <row r="5" spans="1:36" x14ac:dyDescent="0.25">
      <c r="A5" s="283" t="s">
        <v>3</v>
      </c>
      <c r="B5" s="284"/>
      <c r="C5" s="285"/>
      <c r="D5" s="286" t="s">
        <v>426</v>
      </c>
      <c r="E5" s="287"/>
      <c r="F5" s="288"/>
      <c r="G5" s="586" t="s">
        <v>205</v>
      </c>
      <c r="H5" s="284"/>
      <c r="I5" s="285"/>
      <c r="J5" s="286" t="s">
        <v>431</v>
      </c>
      <c r="K5" s="287"/>
      <c r="L5" s="287"/>
      <c r="M5" s="287"/>
      <c r="Z5" s="67"/>
      <c r="AA5" s="97"/>
      <c r="AB5" s="97"/>
      <c r="AC5" s="97"/>
      <c r="AD5" s="97"/>
      <c r="AE5" s="97"/>
      <c r="AF5" s="97"/>
      <c r="AG5" s="97"/>
      <c r="AH5" s="97"/>
      <c r="AI5" s="97"/>
      <c r="AJ5" s="97"/>
    </row>
    <row r="6" spans="1:36" ht="12.75" customHeight="1" x14ac:dyDescent="0.25">
      <c r="A6" s="283" t="s">
        <v>4</v>
      </c>
      <c r="B6" s="284"/>
      <c r="C6" s="285"/>
      <c r="D6" s="290" t="s">
        <v>427</v>
      </c>
      <c r="E6" s="287"/>
      <c r="F6" s="288"/>
      <c r="G6" s="289" t="s">
        <v>26</v>
      </c>
      <c r="H6" s="284"/>
      <c r="I6" s="285"/>
      <c r="J6" s="286" t="s">
        <v>430</v>
      </c>
      <c r="K6" s="287"/>
      <c r="L6" s="287"/>
      <c r="M6" s="287"/>
      <c r="Z6" s="67"/>
      <c r="AA6" s="69"/>
      <c r="AB6" s="65"/>
      <c r="AC6" s="65"/>
      <c r="AD6" s="65"/>
      <c r="AE6" s="65"/>
      <c r="AF6" s="65"/>
      <c r="AG6" s="65"/>
      <c r="AH6" s="65"/>
      <c r="AI6" s="65"/>
      <c r="AJ6" s="65"/>
    </row>
    <row r="7" spans="1:36" x14ac:dyDescent="0.25">
      <c r="A7" s="283"/>
      <c r="B7" s="283"/>
      <c r="C7" s="285"/>
      <c r="D7" s="289"/>
      <c r="E7" s="284"/>
      <c r="F7" s="285"/>
      <c r="G7" s="289" t="s">
        <v>27</v>
      </c>
      <c r="H7" s="284"/>
      <c r="I7" s="285"/>
      <c r="J7" s="313">
        <v>2019</v>
      </c>
      <c r="K7" s="314"/>
      <c r="L7" s="314"/>
      <c r="M7" s="314"/>
      <c r="Z7" s="67"/>
      <c r="AA7" s="69"/>
      <c r="AB7" s="65"/>
      <c r="AC7" s="65"/>
      <c r="AD7" s="65"/>
      <c r="AE7" s="65"/>
      <c r="AF7" s="65"/>
      <c r="AG7" s="65"/>
      <c r="AH7" s="65"/>
      <c r="AI7" s="65"/>
      <c r="AJ7" s="65"/>
    </row>
    <row r="8" spans="1:36" x14ac:dyDescent="0.25">
      <c r="A8" s="315" t="s">
        <v>5</v>
      </c>
      <c r="B8" s="316"/>
      <c r="C8" s="316"/>
      <c r="D8" s="316"/>
      <c r="E8" s="316"/>
      <c r="F8" s="317"/>
      <c r="G8" s="318" t="s">
        <v>28</v>
      </c>
      <c r="H8" s="317"/>
      <c r="I8" s="318" t="s">
        <v>30</v>
      </c>
      <c r="J8" s="316"/>
      <c r="K8" s="316"/>
      <c r="L8" s="316"/>
      <c r="M8" s="316"/>
      <c r="Z8" s="67"/>
      <c r="AA8" s="69"/>
      <c r="AB8" s="65"/>
      <c r="AC8" s="65"/>
      <c r="AD8" s="65"/>
      <c r="AE8" s="65"/>
      <c r="AF8" s="65"/>
      <c r="AG8" s="65"/>
      <c r="AH8" s="65"/>
      <c r="AI8" s="65"/>
      <c r="AJ8" s="65"/>
    </row>
    <row r="9" spans="1:36" ht="13.8" thickBot="1" x14ac:dyDescent="0.3">
      <c r="A9" s="576" t="s">
        <v>206</v>
      </c>
      <c r="B9" s="305"/>
      <c r="C9" s="305"/>
      <c r="D9" s="305"/>
      <c r="E9" s="305"/>
      <c r="F9" s="306"/>
      <c r="G9" s="307" t="s">
        <v>29</v>
      </c>
      <c r="H9" s="300"/>
      <c r="I9" s="584" t="s">
        <v>215</v>
      </c>
      <c r="J9" s="585"/>
      <c r="K9" s="585"/>
      <c r="L9" s="585"/>
      <c r="M9" s="585"/>
      <c r="O9" s="199" t="str">
        <f>IF($I$9="3ST","Unsignalized three-leg (stop control on minor-road approaches)",IF($I$9="4ST","Unsignalized four-leg (stop control on minor-road approaches)","Signalized four-leg"))</f>
        <v>Unsignalized three-leg (stop control on minor-road approaches)</v>
      </c>
      <c r="Z9" s="67"/>
      <c r="AA9" s="69"/>
      <c r="AB9" s="65"/>
      <c r="AC9" s="65"/>
      <c r="AD9" s="65"/>
      <c r="AE9" s="65"/>
      <c r="AF9" s="65"/>
      <c r="AG9" s="65"/>
      <c r="AH9" s="65"/>
      <c r="AI9" s="65"/>
      <c r="AJ9" s="65"/>
    </row>
    <row r="10" spans="1:36" ht="16.2" thickBot="1" x14ac:dyDescent="0.4">
      <c r="A10" s="576" t="s">
        <v>207</v>
      </c>
      <c r="B10" s="305"/>
      <c r="C10" s="312"/>
      <c r="D10" s="191" t="s">
        <v>379</v>
      </c>
      <c r="E10" s="192">
        <f>IF($I$9="3ST",19500,IF($I$9="4ST",14700,25200))</f>
        <v>19500</v>
      </c>
      <c r="F10" s="193" t="s">
        <v>380</v>
      </c>
      <c r="G10" s="309" t="s">
        <v>29</v>
      </c>
      <c r="H10" s="306"/>
      <c r="I10" s="310">
        <v>0</v>
      </c>
      <c r="J10" s="311"/>
      <c r="K10" s="311"/>
      <c r="L10" s="311"/>
      <c r="M10" s="311"/>
      <c r="N10" s="194" t="str">
        <f>IF(I10&gt;E10,"AADT out of range",IF(I10&lt;I11,"Major AADT must be greater than or equal to Minor AADTO", "AADT OK"))</f>
        <v>AADT OK</v>
      </c>
      <c r="Z10" s="67"/>
      <c r="AA10" s="111"/>
      <c r="AB10" s="67"/>
      <c r="AC10" s="67"/>
      <c r="AD10" s="67"/>
      <c r="AE10" s="67"/>
      <c r="AF10" s="67"/>
      <c r="AG10" s="67"/>
      <c r="AH10" s="67"/>
      <c r="AI10" s="67"/>
      <c r="AJ10" s="67"/>
    </row>
    <row r="11" spans="1:36" ht="16.2" thickBot="1" x14ac:dyDescent="0.4">
      <c r="A11" s="576" t="s">
        <v>208</v>
      </c>
      <c r="B11" s="305"/>
      <c r="C11" s="312"/>
      <c r="D11" s="191" t="s">
        <v>379</v>
      </c>
      <c r="E11" s="192">
        <f>IF($I$9="3ST",4300,IF($I$9="4ST",3500,12500))</f>
        <v>4300</v>
      </c>
      <c r="F11" s="193" t="s">
        <v>380</v>
      </c>
      <c r="G11" s="309" t="s">
        <v>29</v>
      </c>
      <c r="H11" s="306"/>
      <c r="I11" s="310">
        <v>0</v>
      </c>
      <c r="J11" s="311"/>
      <c r="K11" s="311"/>
      <c r="L11" s="311"/>
      <c r="M11" s="311"/>
      <c r="N11" s="194" t="str">
        <f>IF(I11&gt;E11,"AADT out of range","AADT OK")</f>
        <v>AADT OK</v>
      </c>
      <c r="Z11" s="67"/>
      <c r="AA11" s="67"/>
      <c r="AB11" s="67"/>
      <c r="AC11" s="67"/>
      <c r="AD11" s="67"/>
      <c r="AE11" s="67"/>
      <c r="AF11" s="67"/>
      <c r="AG11" s="67"/>
      <c r="AH11" s="67"/>
      <c r="AI11" s="67"/>
      <c r="AJ11" s="67"/>
    </row>
    <row r="12" spans="1:36" x14ac:dyDescent="0.25">
      <c r="A12" s="91" t="s">
        <v>209</v>
      </c>
      <c r="B12" s="55"/>
      <c r="C12" s="91" t="s">
        <v>238</v>
      </c>
      <c r="D12" s="55"/>
      <c r="E12" s="55"/>
      <c r="F12" s="158" t="s">
        <v>202</v>
      </c>
      <c r="G12" s="320">
        <v>0</v>
      </c>
      <c r="H12" s="306"/>
      <c r="I12" s="185" t="s">
        <v>240</v>
      </c>
      <c r="J12" s="159">
        <v>0</v>
      </c>
      <c r="K12" s="582" t="s">
        <v>241</v>
      </c>
      <c r="L12" s="583"/>
      <c r="M12" s="159">
        <v>0</v>
      </c>
      <c r="O12" s="200" t="s">
        <v>391</v>
      </c>
      <c r="Z12" s="67"/>
      <c r="AA12" s="67"/>
      <c r="AB12" s="67"/>
      <c r="AC12" s="67"/>
      <c r="AD12" s="67"/>
      <c r="AE12" s="67"/>
      <c r="AF12" s="67"/>
      <c r="AG12" s="67"/>
      <c r="AH12" s="67"/>
      <c r="AI12" s="67"/>
      <c r="AJ12" s="67"/>
    </row>
    <row r="13" spans="1:36" x14ac:dyDescent="0.25">
      <c r="A13" s="576" t="s">
        <v>210</v>
      </c>
      <c r="B13" s="305"/>
      <c r="C13" s="305"/>
      <c r="D13" s="305"/>
      <c r="E13" s="305"/>
      <c r="F13" s="306"/>
      <c r="G13" s="319">
        <v>0</v>
      </c>
      <c r="H13" s="306"/>
      <c r="I13" s="325">
        <v>0</v>
      </c>
      <c r="J13" s="326"/>
      <c r="K13" s="326"/>
      <c r="L13" s="326"/>
      <c r="M13" s="326"/>
      <c r="Z13" s="67"/>
      <c r="AA13" s="67"/>
      <c r="AB13" s="67"/>
      <c r="AC13" s="67"/>
      <c r="AD13" s="67"/>
      <c r="AE13" s="67"/>
      <c r="AF13" s="67"/>
      <c r="AG13" s="67"/>
      <c r="AH13" s="67"/>
      <c r="AI13" s="67"/>
      <c r="AJ13" s="67"/>
    </row>
    <row r="14" spans="1:36" x14ac:dyDescent="0.25">
      <c r="A14" s="576" t="s">
        <v>211</v>
      </c>
      <c r="B14" s="305"/>
      <c r="C14" s="305"/>
      <c r="D14" s="305"/>
      <c r="E14" s="305"/>
      <c r="F14" s="306"/>
      <c r="G14" s="320">
        <v>0</v>
      </c>
      <c r="H14" s="306"/>
      <c r="I14" s="577">
        <v>0</v>
      </c>
      <c r="J14" s="326"/>
      <c r="K14" s="326"/>
      <c r="L14" s="326"/>
      <c r="M14" s="326"/>
      <c r="Z14" s="67"/>
      <c r="AA14" s="69"/>
      <c r="AB14" s="67"/>
      <c r="AC14" s="67"/>
      <c r="AD14" s="67"/>
      <c r="AE14" s="65"/>
      <c r="AF14" s="67"/>
      <c r="AG14" s="67"/>
      <c r="AH14" s="67"/>
      <c r="AI14" s="67"/>
      <c r="AJ14" s="67"/>
    </row>
    <row r="15" spans="1:36" ht="13.5" customHeight="1" x14ac:dyDescent="0.25">
      <c r="A15" s="576" t="s">
        <v>212</v>
      </c>
      <c r="B15" s="305"/>
      <c r="C15" s="305"/>
      <c r="D15" s="305"/>
      <c r="E15" s="305"/>
      <c r="F15" s="306"/>
      <c r="G15" s="581" t="s">
        <v>165</v>
      </c>
      <c r="H15" s="306"/>
      <c r="I15" s="325" t="s">
        <v>165</v>
      </c>
      <c r="J15" s="326"/>
      <c r="K15" s="326"/>
      <c r="L15" s="326"/>
      <c r="M15" s="326"/>
      <c r="Z15" s="67"/>
      <c r="AA15" s="67"/>
      <c r="AB15" s="67"/>
      <c r="AC15" s="67"/>
      <c r="AD15" s="67"/>
      <c r="AE15" s="67"/>
      <c r="AF15" s="67"/>
      <c r="AG15" s="67"/>
      <c r="AH15" s="67"/>
      <c r="AI15" s="67"/>
      <c r="AJ15" s="67"/>
    </row>
    <row r="16" spans="1:36" ht="16.2" thickBot="1" x14ac:dyDescent="0.4">
      <c r="A16" s="578" t="s">
        <v>213</v>
      </c>
      <c r="B16" s="332"/>
      <c r="C16" s="332"/>
      <c r="D16" s="332"/>
      <c r="E16" s="332"/>
      <c r="F16" s="333"/>
      <c r="G16" s="579">
        <v>1</v>
      </c>
      <c r="H16" s="580"/>
      <c r="I16" s="335">
        <v>1</v>
      </c>
      <c r="J16" s="336"/>
      <c r="K16" s="336"/>
      <c r="L16" s="336"/>
      <c r="M16" s="336"/>
      <c r="Z16" s="67"/>
      <c r="AA16" s="69"/>
      <c r="AB16" s="67"/>
      <c r="AC16" s="67"/>
      <c r="AD16" s="67"/>
      <c r="AE16" s="65"/>
      <c r="AF16" s="67"/>
      <c r="AG16" s="67"/>
      <c r="AH16" s="67"/>
      <c r="AI16" s="67"/>
      <c r="AJ16" s="67"/>
    </row>
    <row r="17" spans="1:36" ht="13.8" thickTop="1" x14ac:dyDescent="0.25">
      <c r="A17" s="56"/>
      <c r="B17" s="56"/>
      <c r="C17" s="56"/>
      <c r="D17" s="56"/>
      <c r="E17" s="56"/>
      <c r="F17" s="56"/>
      <c r="G17" s="70"/>
      <c r="H17" s="71"/>
      <c r="I17" s="72"/>
      <c r="J17" s="73"/>
      <c r="K17" s="73"/>
      <c r="L17" s="73"/>
      <c r="M17" s="73"/>
      <c r="Z17" s="67"/>
      <c r="AA17" s="67"/>
      <c r="AB17" s="67"/>
      <c r="AC17" s="67"/>
      <c r="AD17" s="67"/>
      <c r="AE17" s="67"/>
      <c r="AF17" s="67"/>
      <c r="AG17" s="67"/>
      <c r="AH17" s="67"/>
      <c r="AI17" s="67"/>
      <c r="AJ17" s="67"/>
    </row>
    <row r="18" spans="1:36" ht="13.8" thickBot="1" x14ac:dyDescent="0.3">
      <c r="A18" s="67"/>
      <c r="B18" s="67"/>
      <c r="C18" s="67"/>
      <c r="D18" s="67"/>
      <c r="E18" s="67"/>
      <c r="F18" s="67"/>
      <c r="G18" s="11"/>
      <c r="H18" s="67"/>
      <c r="I18" s="11"/>
      <c r="J18" s="67"/>
      <c r="K18" s="67"/>
      <c r="L18" s="67"/>
      <c r="M18" s="67"/>
    </row>
    <row r="19" spans="1:36" ht="14.25" customHeight="1" thickTop="1" thickBot="1" x14ac:dyDescent="0.3">
      <c r="A19" s="337" t="s">
        <v>221</v>
      </c>
      <c r="B19" s="338"/>
      <c r="C19" s="338"/>
      <c r="D19" s="338"/>
      <c r="E19" s="338"/>
      <c r="F19" s="338"/>
      <c r="G19" s="338"/>
      <c r="H19" s="338"/>
      <c r="I19" s="338"/>
      <c r="J19" s="338"/>
      <c r="K19" s="338"/>
      <c r="L19" s="338"/>
      <c r="M19" s="338"/>
    </row>
    <row r="20" spans="1:36" x14ac:dyDescent="0.25">
      <c r="A20" s="470" t="s">
        <v>32</v>
      </c>
      <c r="B20" s="471"/>
      <c r="C20" s="471"/>
      <c r="D20" s="501" t="s">
        <v>33</v>
      </c>
      <c r="E20" s="471"/>
      <c r="F20" s="501" t="s">
        <v>34</v>
      </c>
      <c r="G20" s="471"/>
      <c r="H20" s="471"/>
      <c r="I20" s="501" t="s">
        <v>35</v>
      </c>
      <c r="J20" s="471"/>
      <c r="K20" s="471"/>
      <c r="L20" s="501" t="s">
        <v>36</v>
      </c>
      <c r="M20" s="566"/>
    </row>
    <row r="21" spans="1:36" x14ac:dyDescent="0.25">
      <c r="A21" s="574" t="s">
        <v>222</v>
      </c>
      <c r="B21" s="547"/>
      <c r="C21" s="547"/>
      <c r="D21" s="545" t="s">
        <v>224</v>
      </c>
      <c r="E21" s="547"/>
      <c r="F21" s="545" t="s">
        <v>225</v>
      </c>
      <c r="G21" s="547"/>
      <c r="H21" s="547"/>
      <c r="I21" s="545" t="s">
        <v>54</v>
      </c>
      <c r="J21" s="547"/>
      <c r="K21" s="547"/>
      <c r="L21" s="545" t="s">
        <v>226</v>
      </c>
      <c r="M21" s="546"/>
    </row>
    <row r="22" spans="1:36" ht="15.6" x14ac:dyDescent="0.35">
      <c r="A22" s="574" t="s">
        <v>339</v>
      </c>
      <c r="B22" s="547"/>
      <c r="C22" s="547"/>
      <c r="D22" s="545" t="s">
        <v>340</v>
      </c>
      <c r="E22" s="547"/>
      <c r="F22" s="545" t="s">
        <v>341</v>
      </c>
      <c r="G22" s="547"/>
      <c r="H22" s="547"/>
      <c r="I22" s="545" t="s">
        <v>342</v>
      </c>
      <c r="J22" s="547"/>
      <c r="K22" s="547"/>
      <c r="L22" s="545" t="s">
        <v>343</v>
      </c>
      <c r="M22" s="546"/>
    </row>
    <row r="23" spans="1:36" ht="13.8" thickBot="1" x14ac:dyDescent="0.3">
      <c r="A23" s="574" t="s">
        <v>223</v>
      </c>
      <c r="B23" s="547"/>
      <c r="C23" s="547"/>
      <c r="D23" s="545" t="s">
        <v>374</v>
      </c>
      <c r="E23" s="547"/>
      <c r="F23" s="545" t="s">
        <v>375</v>
      </c>
      <c r="G23" s="547"/>
      <c r="H23" s="547"/>
      <c r="I23" s="545" t="s">
        <v>376</v>
      </c>
      <c r="J23" s="547"/>
      <c r="K23" s="547"/>
      <c r="L23" s="552" t="s">
        <v>227</v>
      </c>
      <c r="M23" s="546"/>
    </row>
    <row r="24" spans="1:36" ht="13.8" thickBot="1" x14ac:dyDescent="0.3">
      <c r="A24" s="472">
        <f>IF(+$I$9="3ST",(EXP(0.004*$J$12)),(IF(+$I$9="4ST",(IF($F$12="No",(EXP(0.0054*$J$12)),(((EXP(0.0054*$J$12))+(EXP(0.0054*$M$12)))/2))),1)))</f>
        <v>1</v>
      </c>
      <c r="B24" s="472"/>
      <c r="C24" s="473"/>
      <c r="D24" s="489">
        <f>IF($I$9="3ST",(IF($I$13=0,1,(HLOOKUP($I$13,'Reference Tables (Intersection)'!$AC$9:$AF$15,3,FALSE)))),(IF($I$9="4ST",(IF($I$13=0,1,(HLOOKUP($I$13,'Reference Tables (Intersection)'!$AC$9:$AF$15,5,FALSE)))),(IF($I$13=0,1,(HLOOKUP($I$13,'Reference Tables (Intersection)'!$AC$9:$AF$15,7,FALSE)))))))</f>
        <v>1</v>
      </c>
      <c r="E24" s="473"/>
      <c r="F24" s="490">
        <f>IF($I$9="3ST",(IF($I$14=0,1,(HLOOKUP($I$14,'Reference Tables (Intersection)'!$AC$25:$AF$31,3,FALSE)))),(IF($I$9="4ST",(IF($I$14=0,1,(HLOOKUP($I$14,'Reference Tables (Intersection)'!$AC$25:$AF$31,5,FALSE)))),(IF($I$14=0,1,(HLOOKUP($I$14,'Reference Tables (Intersection)'!$AC$25:$AF$31,7,FALSE)))))))</f>
        <v>1</v>
      </c>
      <c r="G24" s="491"/>
      <c r="H24" s="492"/>
      <c r="I24" s="489">
        <f>IF(($I$15="Not Present"),1,(1-0.38*(IF('Reference Tables (Intersection)'!$D$49="No",(VLOOKUP( $I$9,'Reference Tables (Intersection)'!$B$50:$F$52,4,FALSE)),(VLOOKUP($I$9,'Reference Tables (Intersection)'!B50:H52,6,FALSE))))))</f>
        <v>1</v>
      </c>
      <c r="J24" s="548"/>
      <c r="K24" s="549"/>
      <c r="L24" s="489">
        <f>+A24*D24*F24*I24</f>
        <v>1</v>
      </c>
      <c r="M24" s="472"/>
    </row>
    <row r="25" spans="1:36" x14ac:dyDescent="0.25">
      <c r="A25" s="494"/>
      <c r="B25" s="494"/>
      <c r="C25" s="494"/>
      <c r="D25" s="96"/>
      <c r="E25" s="96"/>
      <c r="F25" s="494"/>
      <c r="G25" s="494"/>
      <c r="H25" s="495"/>
      <c r="I25" s="494"/>
      <c r="J25" s="575"/>
      <c r="K25" s="575"/>
      <c r="L25" s="67"/>
      <c r="M25" s="67"/>
    </row>
    <row r="26" spans="1:36" ht="13.8" thickBot="1" x14ac:dyDescent="0.3">
      <c r="A26" s="69"/>
      <c r="B26" s="67"/>
      <c r="C26" s="67"/>
      <c r="D26" s="67"/>
      <c r="E26" s="67"/>
      <c r="F26" s="67"/>
      <c r="G26" s="65"/>
      <c r="H26" s="75"/>
      <c r="I26" s="65"/>
      <c r="J26" s="67"/>
      <c r="K26" s="67"/>
      <c r="L26" s="67"/>
      <c r="M26" s="67"/>
    </row>
    <row r="27" spans="1:36" ht="14.4" thickTop="1" thickBot="1" x14ac:dyDescent="0.3">
      <c r="A27" s="291" t="s">
        <v>228</v>
      </c>
      <c r="B27" s="292"/>
      <c r="C27" s="292"/>
      <c r="D27" s="292"/>
      <c r="E27" s="292"/>
      <c r="F27" s="292"/>
      <c r="G27" s="292"/>
      <c r="H27" s="292"/>
      <c r="I27" s="293"/>
      <c r="J27" s="293"/>
      <c r="K27" s="293"/>
      <c r="L27" s="293"/>
      <c r="M27" s="293"/>
    </row>
    <row r="28" spans="1:36" x14ac:dyDescent="0.25">
      <c r="A28" s="493" t="s">
        <v>32</v>
      </c>
      <c r="B28" s="488"/>
      <c r="C28" s="523" t="s">
        <v>33</v>
      </c>
      <c r="D28" s="524"/>
      <c r="E28" s="84" t="s">
        <v>34</v>
      </c>
      <c r="F28" s="85" t="s">
        <v>35</v>
      </c>
      <c r="G28" s="487" t="s">
        <v>36</v>
      </c>
      <c r="H28" s="488"/>
      <c r="I28" s="84" t="s">
        <v>37</v>
      </c>
      <c r="J28" s="487" t="s">
        <v>38</v>
      </c>
      <c r="K28" s="488"/>
      <c r="L28" s="523" t="s">
        <v>39</v>
      </c>
      <c r="M28" s="525"/>
    </row>
    <row r="29" spans="1:36" ht="16.5" customHeight="1" x14ac:dyDescent="0.25">
      <c r="A29" s="474" t="s">
        <v>79</v>
      </c>
      <c r="B29" s="475"/>
      <c r="C29" s="572" t="s">
        <v>229</v>
      </c>
      <c r="D29" s="573"/>
      <c r="E29" s="496" t="s">
        <v>81</v>
      </c>
      <c r="F29" s="496" t="s">
        <v>82</v>
      </c>
      <c r="G29" s="496" t="s">
        <v>230</v>
      </c>
      <c r="H29" s="498"/>
      <c r="I29" s="496" t="s">
        <v>84</v>
      </c>
      <c r="J29" s="480" t="s">
        <v>213</v>
      </c>
      <c r="K29" s="475"/>
      <c r="L29" s="555" t="s">
        <v>254</v>
      </c>
      <c r="M29" s="556"/>
    </row>
    <row r="30" spans="1:36" x14ac:dyDescent="0.25">
      <c r="A30" s="476"/>
      <c r="B30" s="475"/>
      <c r="C30" s="560"/>
      <c r="D30" s="560"/>
      <c r="E30" s="497"/>
      <c r="F30" s="484"/>
      <c r="G30" s="484"/>
      <c r="H30" s="484"/>
      <c r="I30" s="484"/>
      <c r="J30" s="481"/>
      <c r="K30" s="475"/>
      <c r="L30" s="500"/>
      <c r="M30" s="557"/>
    </row>
    <row r="31" spans="1:36" x14ac:dyDescent="0.25">
      <c r="A31" s="477"/>
      <c r="B31" s="475"/>
      <c r="C31" s="499" t="s">
        <v>231</v>
      </c>
      <c r="D31" s="500"/>
      <c r="E31" s="483" t="s">
        <v>232</v>
      </c>
      <c r="F31" s="483" t="s">
        <v>365</v>
      </c>
      <c r="G31" s="485" t="s">
        <v>233</v>
      </c>
      <c r="H31" s="486"/>
      <c r="I31" s="483" t="s">
        <v>344</v>
      </c>
      <c r="J31" s="481"/>
      <c r="K31" s="475"/>
      <c r="L31" s="558" t="s">
        <v>234</v>
      </c>
      <c r="M31" s="559"/>
    </row>
    <row r="32" spans="1:36" x14ac:dyDescent="0.25">
      <c r="A32" s="478"/>
      <c r="B32" s="479"/>
      <c r="C32" s="500"/>
      <c r="D32" s="500"/>
      <c r="E32" s="484"/>
      <c r="F32" s="484"/>
      <c r="G32" s="486"/>
      <c r="H32" s="486"/>
      <c r="I32" s="484"/>
      <c r="J32" s="482"/>
      <c r="K32" s="479"/>
      <c r="L32" s="560"/>
      <c r="M32" s="559"/>
      <c r="Q32" s="95"/>
      <c r="R32" s="95"/>
      <c r="S32" s="95"/>
      <c r="T32" s="95"/>
      <c r="U32" s="95"/>
      <c r="V32" s="95"/>
      <c r="W32" s="95"/>
      <c r="X32" s="95"/>
    </row>
    <row r="33" spans="1:32" x14ac:dyDescent="0.25">
      <c r="A33" s="507" t="s">
        <v>89</v>
      </c>
      <c r="B33" s="508"/>
      <c r="C33" s="506" t="e">
        <f>IF($I$9="3ST",(EXP(-9.86+0.79*(LN($I$10))+(0.49*(LN($I$11))))),IF($I$9="4ST",(EXP(-8.56+0.6*(LN($I$10))+(0.61*(LN($I$11))))),(EXP(-5.13+(0.6*(LN($I$10)))+(0.2*(LN($I$11)))))))</f>
        <v>#NUM!</v>
      </c>
      <c r="D33" s="506"/>
      <c r="E33" s="81">
        <f>IF($I$9="3ST",0.54,(IF($I$9="4ST",0.24,0.11)))</f>
        <v>0.54</v>
      </c>
      <c r="F33" s="103">
        <f>IF($I$9="3ST",IF('Reference Tables (Intersection)'!$D$10="No",'Reference Tables (Intersection)'!$E$18,'Reference Tables (Intersection)'!$K$18),(IF($I$9="4ST",(IF('Reference Tables (Intersection)'!$D$10="No",'Reference Tables (Intersection)'!$G$18,'Reference Tables (Intersection)'!$M$18)),(IF('Reference Tables (Intersection)'!$D$10="No",'Reference Tables (Intersection)'!$I$18,'Reference Tables (Intersection)'!$O$18)))))/100</f>
        <v>1</v>
      </c>
      <c r="G33" s="509" t="e">
        <f>+C33*F33</f>
        <v>#NUM!</v>
      </c>
      <c r="H33" s="510"/>
      <c r="I33" s="105">
        <f>+$L$24</f>
        <v>1</v>
      </c>
      <c r="J33" s="550">
        <f>+$I$16</f>
        <v>1</v>
      </c>
      <c r="K33" s="551"/>
      <c r="L33" s="521" t="e">
        <f>+G33*I33*J33</f>
        <v>#NUM!</v>
      </c>
      <c r="M33" s="522"/>
      <c r="Q33" s="95"/>
      <c r="R33" s="95"/>
      <c r="S33" s="95"/>
      <c r="T33" s="95"/>
      <c r="U33" s="95"/>
      <c r="V33" s="95"/>
      <c r="W33" s="95"/>
      <c r="X33" s="95"/>
    </row>
    <row r="34" spans="1:32" x14ac:dyDescent="0.25">
      <c r="A34" s="507" t="s">
        <v>90</v>
      </c>
      <c r="B34" s="508"/>
      <c r="C34" s="502" t="s">
        <v>29</v>
      </c>
      <c r="D34" s="503"/>
      <c r="E34" s="82" t="s">
        <v>29</v>
      </c>
      <c r="F34" s="103">
        <f>IF($I$9="3ST",IF('Reference Tables (Intersection)'!$D$10="No",'Reference Tables (Intersection)'!$E$16,'Reference Tables (Intersection)'!$K$16),(IF($I$9="4ST",(IF('Reference Tables (Intersection)'!$D$10="No",'Reference Tables (Intersection)'!$G$16,'Reference Tables (Intersection)'!$M$16)),(IF('Reference Tables (Intersection)'!$D$10="No",'Reference Tables (Intersection)'!$I$16,'Reference Tables (Intersection)'!$O$16)))))/100</f>
        <v>0.41499999999999998</v>
      </c>
      <c r="G34" s="509" t="e">
        <f>+C33*F34</f>
        <v>#NUM!</v>
      </c>
      <c r="H34" s="510"/>
      <c r="I34" s="105">
        <f>+$L$24</f>
        <v>1</v>
      </c>
      <c r="J34" s="550">
        <f>+$I$16</f>
        <v>1</v>
      </c>
      <c r="K34" s="551"/>
      <c r="L34" s="521" t="e">
        <f>+G34*I34*J34</f>
        <v>#NUM!</v>
      </c>
      <c r="M34" s="522"/>
      <c r="Q34" s="95"/>
      <c r="R34" s="95"/>
      <c r="S34" s="95"/>
      <c r="T34" s="95"/>
      <c r="U34" s="95"/>
      <c r="V34" s="95"/>
      <c r="W34" s="95"/>
      <c r="X34" s="95"/>
    </row>
    <row r="35" spans="1:32" ht="13.8" thickBot="1" x14ac:dyDescent="0.3">
      <c r="A35" s="540" t="s">
        <v>91</v>
      </c>
      <c r="B35" s="541"/>
      <c r="C35" s="504" t="s">
        <v>29</v>
      </c>
      <c r="D35" s="505"/>
      <c r="E35" s="83" t="s">
        <v>29</v>
      </c>
      <c r="F35" s="104">
        <f>IF($I$9="3ST",IF('Reference Tables (Intersection)'!$D$10="No",'Reference Tables (Intersection)'!$E$17,'Reference Tables (Intersection)'!$K$17),(IF($I$9="4ST",(IF('Reference Tables (Intersection)'!$D$10="No",'Reference Tables (Intersection)'!$G$17,'Reference Tables (Intersection)'!$M$17)),(IF('Reference Tables (Intersection)'!$D$10="No",'Reference Tables (Intersection)'!$I$17,'Reference Tables (Intersection)'!$O$17)))))/100</f>
        <v>0.58499999999999996</v>
      </c>
      <c r="G35" s="517" t="e">
        <f>+C33*F35</f>
        <v>#NUM!</v>
      </c>
      <c r="H35" s="518"/>
      <c r="I35" s="106">
        <f>+$L$24</f>
        <v>1</v>
      </c>
      <c r="J35" s="553">
        <f>+$I$16</f>
        <v>1</v>
      </c>
      <c r="K35" s="554"/>
      <c r="L35" s="519" t="e">
        <f>+G35*I35*J35</f>
        <v>#NUM!</v>
      </c>
      <c r="M35" s="520"/>
    </row>
    <row r="36" spans="1:32" x14ac:dyDescent="0.25">
      <c r="A36" s="77"/>
      <c r="B36" s="77"/>
      <c r="C36" s="186"/>
      <c r="D36" s="186"/>
      <c r="E36" s="77"/>
      <c r="F36" s="77"/>
      <c r="G36" s="77"/>
      <c r="H36" s="77"/>
      <c r="I36" s="77"/>
      <c r="J36" s="77"/>
      <c r="K36" s="77"/>
      <c r="L36" s="77"/>
      <c r="M36" s="77"/>
      <c r="X36" s="98"/>
      <c r="Y36" s="98"/>
      <c r="Z36" s="98"/>
      <c r="AA36" s="98"/>
      <c r="AB36" s="98"/>
      <c r="AC36" s="98"/>
      <c r="AD36" s="98"/>
      <c r="AE36" s="98"/>
      <c r="AF36" s="98"/>
    </row>
    <row r="37" spans="1:32" ht="13.8" thickBot="1" x14ac:dyDescent="0.3">
      <c r="A37" s="79"/>
      <c r="B37" s="79"/>
      <c r="C37" s="79"/>
      <c r="D37" s="79"/>
      <c r="E37" s="79"/>
      <c r="F37" s="79"/>
      <c r="G37" s="79"/>
      <c r="H37" s="79"/>
      <c r="I37" s="79"/>
      <c r="J37" s="79"/>
      <c r="K37" s="79"/>
      <c r="L37" s="79"/>
      <c r="M37" s="80"/>
      <c r="X37" s="11"/>
      <c r="AC37" s="11"/>
      <c r="AD37" s="11"/>
      <c r="AE37" s="11"/>
      <c r="AF37" s="11"/>
    </row>
    <row r="38" spans="1:32" ht="14.4" thickTop="1" thickBot="1" x14ac:dyDescent="0.3">
      <c r="A38" s="291" t="s">
        <v>235</v>
      </c>
      <c r="B38" s="292"/>
      <c r="C38" s="292"/>
      <c r="D38" s="292"/>
      <c r="E38" s="292"/>
      <c r="F38" s="292"/>
      <c r="G38" s="292"/>
      <c r="H38" s="378"/>
      <c r="I38" s="378"/>
      <c r="J38" s="378"/>
      <c r="K38" s="378"/>
      <c r="L38" s="378"/>
      <c r="M38" s="378"/>
      <c r="X38" s="97"/>
      <c r="AC38" s="97"/>
      <c r="AD38" s="97"/>
      <c r="AE38" s="97"/>
      <c r="AF38" s="67"/>
    </row>
    <row r="39" spans="1:32" x14ac:dyDescent="0.25">
      <c r="A39" s="379" t="s">
        <v>32</v>
      </c>
      <c r="B39" s="380"/>
      <c r="C39" s="12" t="s">
        <v>33</v>
      </c>
      <c r="D39" s="381" t="s">
        <v>34</v>
      </c>
      <c r="E39" s="382"/>
      <c r="F39" s="381" t="s">
        <v>35</v>
      </c>
      <c r="G39" s="382"/>
      <c r="H39" s="383" t="s">
        <v>36</v>
      </c>
      <c r="I39" s="384"/>
      <c r="J39" s="381" t="s">
        <v>37</v>
      </c>
      <c r="K39" s="382"/>
      <c r="L39" s="383" t="s">
        <v>38</v>
      </c>
      <c r="M39" s="385"/>
      <c r="AC39" s="97"/>
      <c r="AD39" s="97"/>
      <c r="AE39" s="97"/>
      <c r="AF39" s="67"/>
    </row>
    <row r="40" spans="1:32" x14ac:dyDescent="0.25">
      <c r="A40" s="567" t="s">
        <v>93</v>
      </c>
      <c r="B40" s="511"/>
      <c r="C40" s="511" t="s">
        <v>97</v>
      </c>
      <c r="D40" s="511" t="s">
        <v>258</v>
      </c>
      <c r="E40" s="514"/>
      <c r="F40" s="511" t="s">
        <v>95</v>
      </c>
      <c r="G40" s="511"/>
      <c r="H40" s="511" t="s">
        <v>259</v>
      </c>
      <c r="I40" s="511"/>
      <c r="J40" s="511" t="s">
        <v>98</v>
      </c>
      <c r="K40" s="511"/>
      <c r="L40" s="511" t="s">
        <v>260</v>
      </c>
      <c r="M40" s="363"/>
      <c r="AC40" s="97"/>
      <c r="AD40" s="97"/>
      <c r="AE40" s="99"/>
      <c r="AF40" s="67"/>
    </row>
    <row r="41" spans="1:32" x14ac:dyDescent="0.25">
      <c r="A41" s="568"/>
      <c r="B41" s="569"/>
      <c r="C41" s="512"/>
      <c r="D41" s="512"/>
      <c r="E41" s="512"/>
      <c r="F41" s="512"/>
      <c r="G41" s="512"/>
      <c r="H41" s="512"/>
      <c r="I41" s="512"/>
      <c r="J41" s="512"/>
      <c r="K41" s="512"/>
      <c r="L41" s="512"/>
      <c r="M41" s="515"/>
      <c r="AC41" s="11"/>
      <c r="AD41" s="74"/>
      <c r="AE41" s="68"/>
      <c r="AF41" s="67"/>
    </row>
    <row r="42" spans="1:32" x14ac:dyDescent="0.25">
      <c r="A42" s="570"/>
      <c r="B42" s="512"/>
      <c r="C42" s="513"/>
      <c r="D42" s="513"/>
      <c r="E42" s="513"/>
      <c r="F42" s="513"/>
      <c r="G42" s="513"/>
      <c r="H42" s="513"/>
      <c r="I42" s="513"/>
      <c r="J42" s="513"/>
      <c r="K42" s="513"/>
      <c r="L42" s="513"/>
      <c r="M42" s="516"/>
    </row>
    <row r="43" spans="1:32" x14ac:dyDescent="0.25">
      <c r="A43" s="570"/>
      <c r="B43" s="512"/>
      <c r="C43" s="563" t="s">
        <v>366</v>
      </c>
      <c r="D43" s="561" t="s">
        <v>255</v>
      </c>
      <c r="E43" s="564"/>
      <c r="F43" s="563" t="s">
        <v>367</v>
      </c>
      <c r="G43" s="565"/>
      <c r="H43" s="561" t="s">
        <v>256</v>
      </c>
      <c r="I43" s="564"/>
      <c r="J43" s="563" t="s">
        <v>367</v>
      </c>
      <c r="K43" s="565"/>
      <c r="L43" s="561" t="s">
        <v>257</v>
      </c>
      <c r="M43" s="562"/>
      <c r="N43" s="34"/>
    </row>
    <row r="44" spans="1:32" x14ac:dyDescent="0.25">
      <c r="A44" s="571"/>
      <c r="B44" s="513"/>
      <c r="C44" s="513"/>
      <c r="D44" s="513"/>
      <c r="E44" s="513"/>
      <c r="F44" s="513"/>
      <c r="G44" s="513"/>
      <c r="H44" s="513"/>
      <c r="I44" s="513"/>
      <c r="J44" s="513"/>
      <c r="K44" s="513"/>
      <c r="L44" s="513"/>
      <c r="M44" s="516"/>
      <c r="N44" s="34"/>
    </row>
    <row r="45" spans="1:32" x14ac:dyDescent="0.25">
      <c r="A45" s="410" t="s">
        <v>89</v>
      </c>
      <c r="B45" s="411"/>
      <c r="C45" s="7">
        <f>IF('Reference Tables (Intersection)'!$D$27="No",(IF($I$9="3ST",'Reference Tables (Intersection)'!G43,(IF($I$9="4ST",'Reference Tables (Intersection)'!J43,'Reference Tables (Intersection)'!M43)))/100),(IF($I$9="3ST",'Reference Tables (Intersection)'!P43,(IF($I$9="4ST",+'Reference Tables (Intersection)'!S43,+'Reference Tables (Intersection)'!V43)))/100))</f>
        <v>1</v>
      </c>
      <c r="D45" s="396" t="e">
        <f>+L33</f>
        <v>#NUM!</v>
      </c>
      <c r="E45" s="266"/>
      <c r="F45" s="396">
        <f>IF('Reference Tables (Intersection)'!$D$27="No",(IF($I$9="3ST",'Reference Tables (Intersection)'!E43,(IF($I$9="4ST",'Reference Tables (Intersection)'!H43,'Reference Tables (Intersection)'!K43)))/100),(IF($I$9="3ST",'Reference Tables (Intersection)'!N43,(IF($I$9="4ST",+'Reference Tables (Intersection)'!Q43,+'Reference Tables (Intersection)'!T43)))/100))</f>
        <v>1</v>
      </c>
      <c r="G45" s="266"/>
      <c r="H45" s="396" t="e">
        <f>+L34</f>
        <v>#NUM!</v>
      </c>
      <c r="I45" s="266"/>
      <c r="J45" s="396">
        <f>IF('Reference Tables (Intersection)'!$D$27="No",(IF($I$9="3ST",'Reference Tables (Intersection)'!F43,(IF($I$9="4ST",'Reference Tables (Intersection)'!I43,'Reference Tables (Intersection)'!L43)))/100),(IF($I$9="3ST",'Reference Tables (Intersection)'!O43,(IF($I$9="4ST",+'Reference Tables (Intersection)'!R43,+'Reference Tables (Intersection)'!U43)))/100))</f>
        <v>1</v>
      </c>
      <c r="K45" s="266"/>
      <c r="L45" s="396" t="e">
        <f>+L35</f>
        <v>#NUM!</v>
      </c>
      <c r="M45" s="282"/>
      <c r="N45" s="34"/>
    </row>
    <row r="46" spans="1:32" ht="13.8" thickBot="1" x14ac:dyDescent="0.3">
      <c r="A46" s="404"/>
      <c r="B46" s="405"/>
      <c r="C46" s="3"/>
      <c r="D46" s="406" t="s">
        <v>103</v>
      </c>
      <c r="E46" s="407"/>
      <c r="F46" s="408"/>
      <c r="G46" s="409"/>
      <c r="H46" s="412" t="s">
        <v>104</v>
      </c>
      <c r="I46" s="413"/>
      <c r="J46" s="414"/>
      <c r="K46" s="268"/>
      <c r="L46" s="412" t="s">
        <v>105</v>
      </c>
      <c r="M46" s="415"/>
      <c r="N46" s="34"/>
    </row>
    <row r="47" spans="1:32" ht="13.8" thickBot="1" x14ac:dyDescent="0.3">
      <c r="A47" s="416" t="s">
        <v>106</v>
      </c>
      <c r="B47" s="417"/>
      <c r="C47" s="417"/>
      <c r="D47" s="417"/>
      <c r="E47" s="417"/>
      <c r="F47" s="417"/>
      <c r="G47" s="417"/>
      <c r="H47" s="418"/>
      <c r="I47" s="418"/>
      <c r="J47" s="418"/>
      <c r="K47" s="418"/>
      <c r="L47" s="418"/>
      <c r="M47" s="418"/>
      <c r="N47" s="34"/>
    </row>
    <row r="48" spans="1:32" x14ac:dyDescent="0.25">
      <c r="A48" s="419" t="s">
        <v>107</v>
      </c>
      <c r="B48" s="420"/>
      <c r="C48" s="7">
        <f>IF('Reference Tables (Intersection)'!$D$27="No",(IF($I$9="3ST",'Reference Tables (Intersection)'!G29,(IF($I$9="4ST",'Reference Tables (Intersection)'!J29,'Reference Tables (Intersection)'!M29)))/100),(IF($I$9="3ST",'Reference Tables (Intersection)'!P29,(IF($I$9="4ST",+'Reference Tables (Intersection)'!S29,+'Reference Tables (Intersection)'!V29)))/100))</f>
        <v>1.9E-2</v>
      </c>
      <c r="D48" s="421" t="e">
        <f>+C48*$D$45</f>
        <v>#NUM!</v>
      </c>
      <c r="E48" s="422"/>
      <c r="F48" s="421">
        <f>IF('Reference Tables (Intersection)'!$D$27="No",(IF($I$9="3ST",'Reference Tables (Intersection)'!E29,(IF($I$9="4ST",'Reference Tables (Intersection)'!H29,'Reference Tables (Intersection)'!K29)))/100),(IF($I$9="3ST",'Reference Tables (Intersection)'!N29,(IF($I$9="4ST",+'Reference Tables (Intersection)'!Q29,+'Reference Tables (Intersection)'!T29)))/100))</f>
        <v>8.0000000000000002E-3</v>
      </c>
      <c r="G48" s="424"/>
      <c r="H48" s="421" t="e">
        <f>+$H$45*F48</f>
        <v>#NUM!</v>
      </c>
      <c r="I48" s="422"/>
      <c r="J48" s="421">
        <f>IF('Reference Tables (Intersection)'!$D$27="No",(IF($I$9="3ST",'Reference Tables (Intersection)'!F29,(IF($I$9="4ST",'Reference Tables (Intersection)'!I29,'Reference Tables (Intersection)'!L29)))/100),(IF($I$9="3ST",'Reference Tables (Intersection)'!O29,(IF($I$9="4ST",+'Reference Tables (Intersection)'!R29,+'Reference Tables (Intersection)'!U29)))/100))</f>
        <v>2.6000000000000002E-2</v>
      </c>
      <c r="K48" s="424"/>
      <c r="L48" s="421" t="e">
        <f>+$L$45*J48</f>
        <v>#NUM!</v>
      </c>
      <c r="M48" s="425"/>
      <c r="N48" s="34"/>
    </row>
    <row r="49" spans="1:13" x14ac:dyDescent="0.25">
      <c r="A49" s="410" t="s">
        <v>108</v>
      </c>
      <c r="B49" s="411"/>
      <c r="C49" s="7">
        <f>IF('Reference Tables (Intersection)'!$D$27="No",(IF($I$9="3ST",'Reference Tables (Intersection)'!G30,(IF($I$9="4ST",'Reference Tables (Intersection)'!J30,'Reference Tables (Intersection)'!M30)))/100),(IF($I$9="3ST",'Reference Tables (Intersection)'!P30,(IF($I$9="4ST",+'Reference Tables (Intersection)'!S30,+'Reference Tables (Intersection)'!V30)))/100))</f>
        <v>1E-3</v>
      </c>
      <c r="D49" s="396" t="e">
        <f t="shared" ref="D49:D54" si="0">+C49*$D$45</f>
        <v>#NUM!</v>
      </c>
      <c r="E49" s="397"/>
      <c r="F49" s="396">
        <f>IF('Reference Tables (Intersection)'!$D$27="No",(IF($I$9="3ST",'Reference Tables (Intersection)'!E30,(IF($I$9="4ST",'Reference Tables (Intersection)'!H30,'Reference Tables (Intersection)'!K30)))/100),(IF($I$9="3ST",'Reference Tables (Intersection)'!N30,(IF($I$9="4ST",+'Reference Tables (Intersection)'!Q30,+'Reference Tables (Intersection)'!T30)))/100))</f>
        <v>1E-3</v>
      </c>
      <c r="G49" s="266"/>
      <c r="H49" s="396" t="e">
        <f t="shared" ref="H49:H54" si="1">+$H$45*F49</f>
        <v>#NUM!</v>
      </c>
      <c r="I49" s="397"/>
      <c r="J49" s="396">
        <f>IF('Reference Tables (Intersection)'!$D$27="No",(IF($I$9="3ST",'Reference Tables (Intersection)'!F30,(IF($I$9="4ST",'Reference Tables (Intersection)'!I30,'Reference Tables (Intersection)'!L30)))/100),(IF($I$9="3ST",'Reference Tables (Intersection)'!O30,(IF($I$9="4ST",+'Reference Tables (Intersection)'!R30,+'Reference Tables (Intersection)'!U30)))/100))</f>
        <v>1E-3</v>
      </c>
      <c r="K49" s="266"/>
      <c r="L49" s="396" t="e">
        <f t="shared" ref="L49:L54" si="2">+$L$45*J49</f>
        <v>#NUM!</v>
      </c>
      <c r="M49" s="426"/>
    </row>
    <row r="50" spans="1:13" x14ac:dyDescent="0.25">
      <c r="A50" s="410" t="s">
        <v>109</v>
      </c>
      <c r="B50" s="411"/>
      <c r="C50" s="7">
        <f>IF('Reference Tables (Intersection)'!$D$27="No",(IF($I$9="3ST",'Reference Tables (Intersection)'!G31,(IF($I$9="4ST",'Reference Tables (Intersection)'!J31,'Reference Tables (Intersection)'!M31)))/100),(IF($I$9="3ST",'Reference Tables (Intersection)'!P31,(IF($I$9="4ST",+'Reference Tables (Intersection)'!S31,+'Reference Tables (Intersection)'!V31)))/100))</f>
        <v>1E-3</v>
      </c>
      <c r="D50" s="396" t="e">
        <f t="shared" si="0"/>
        <v>#NUM!</v>
      </c>
      <c r="E50" s="397"/>
      <c r="F50" s="396">
        <f>IF('Reference Tables (Intersection)'!$D$27="No",(IF($I$9="3ST",'Reference Tables (Intersection)'!E31,(IF($I$9="4ST",'Reference Tables (Intersection)'!H31,'Reference Tables (Intersection)'!K31)))/100),(IF($I$9="3ST",'Reference Tables (Intersection)'!N31,(IF($I$9="4ST",+'Reference Tables (Intersection)'!Q31,+'Reference Tables (Intersection)'!T31)))/100))</f>
        <v>1E-3</v>
      </c>
      <c r="G50" s="266"/>
      <c r="H50" s="396" t="e">
        <f t="shared" si="1"/>
        <v>#NUM!</v>
      </c>
      <c r="I50" s="397"/>
      <c r="J50" s="396">
        <f>IF('Reference Tables (Intersection)'!$D$27="No",(IF($I$9="3ST",'Reference Tables (Intersection)'!F31,(IF($I$9="4ST",'Reference Tables (Intersection)'!I31,'Reference Tables (Intersection)'!L31)))/100),(IF($I$9="3ST",'Reference Tables (Intersection)'!O31,(IF($I$9="4ST",+'Reference Tables (Intersection)'!R31,+'Reference Tables (Intersection)'!U31)))/100))</f>
        <v>1E-3</v>
      </c>
      <c r="K50" s="266"/>
      <c r="L50" s="396" t="e">
        <f t="shared" si="2"/>
        <v>#NUM!</v>
      </c>
      <c r="M50" s="426"/>
    </row>
    <row r="51" spans="1:13" x14ac:dyDescent="0.25">
      <c r="A51" s="305" t="s">
        <v>110</v>
      </c>
      <c r="B51" s="306"/>
      <c r="C51" s="7">
        <f>IF('Reference Tables (Intersection)'!$D$27="No",(IF($I$9="3ST",'Reference Tables (Intersection)'!G32,(IF($I$9="4ST",'Reference Tables (Intersection)'!J32,'Reference Tables (Intersection)'!M32)))/100),(IF($I$9="3ST",'Reference Tables (Intersection)'!P32,(IF($I$9="4ST",+'Reference Tables (Intersection)'!S32,+'Reference Tables (Intersection)'!V32)))/100))</f>
        <v>1.3000000000000001E-2</v>
      </c>
      <c r="D51" s="396" t="e">
        <f t="shared" si="0"/>
        <v>#NUM!</v>
      </c>
      <c r="E51" s="397"/>
      <c r="F51" s="396">
        <f>IF('Reference Tables (Intersection)'!$D$27="No",(IF($I$9="3ST",'Reference Tables (Intersection)'!E32,(IF($I$9="4ST",'Reference Tables (Intersection)'!H32,'Reference Tables (Intersection)'!K32)))/100),(IF($I$9="3ST",'Reference Tables (Intersection)'!N32,(IF($I$9="4ST",+'Reference Tables (Intersection)'!Q32,+'Reference Tables (Intersection)'!T32)))/100))</f>
        <v>2.2000000000000002E-2</v>
      </c>
      <c r="G51" s="266"/>
      <c r="H51" s="396" t="e">
        <f t="shared" si="1"/>
        <v>#NUM!</v>
      </c>
      <c r="I51" s="397"/>
      <c r="J51" s="396">
        <f>IF('Reference Tables (Intersection)'!$D$27="No",(IF($I$9="3ST",'Reference Tables (Intersection)'!F32,(IF($I$9="4ST",'Reference Tables (Intersection)'!I32,'Reference Tables (Intersection)'!L32)))/100),(IF($I$9="3ST",'Reference Tables (Intersection)'!O32,(IF($I$9="4ST",+'Reference Tables (Intersection)'!R32,+'Reference Tables (Intersection)'!U32)))/100))</f>
        <v>6.9999999999999993E-3</v>
      </c>
      <c r="K51" s="266"/>
      <c r="L51" s="396" t="e">
        <f t="shared" si="2"/>
        <v>#NUM!</v>
      </c>
      <c r="M51" s="426"/>
    </row>
    <row r="52" spans="1:13" x14ac:dyDescent="0.25">
      <c r="A52" s="305" t="s">
        <v>111</v>
      </c>
      <c r="B52" s="306"/>
      <c r="C52" s="7">
        <f>IF('Reference Tables (Intersection)'!$D$27="No",(IF($I$9="3ST",'Reference Tables (Intersection)'!G33,(IF($I$9="4ST",'Reference Tables (Intersection)'!J33,'Reference Tables (Intersection)'!M33)))/100),(IF($I$9="3ST",'Reference Tables (Intersection)'!P33,(IF($I$9="4ST",+'Reference Tables (Intersection)'!S33,+'Reference Tables (Intersection)'!V33)))/100))</f>
        <v>0.24399999999999999</v>
      </c>
      <c r="D52" s="396" t="e">
        <f t="shared" si="0"/>
        <v>#NUM!</v>
      </c>
      <c r="E52" s="397"/>
      <c r="F52" s="396">
        <f>IF('Reference Tables (Intersection)'!$D$27="No",(IF($I$9="3ST",'Reference Tables (Intersection)'!E33,(IF($I$9="4ST",'Reference Tables (Intersection)'!H33,'Reference Tables (Intersection)'!K33)))/100),(IF($I$9="3ST",'Reference Tables (Intersection)'!N33,(IF($I$9="4ST",+'Reference Tables (Intersection)'!Q33,+'Reference Tables (Intersection)'!T33)))/100))</f>
        <v>0.24</v>
      </c>
      <c r="G52" s="266"/>
      <c r="H52" s="396" t="e">
        <f t="shared" si="1"/>
        <v>#NUM!</v>
      </c>
      <c r="I52" s="397"/>
      <c r="J52" s="396">
        <f>IF('Reference Tables (Intersection)'!$D$27="No",(IF($I$9="3ST",'Reference Tables (Intersection)'!F33,(IF($I$9="4ST",'Reference Tables (Intersection)'!I33,'Reference Tables (Intersection)'!L33)))/100),(IF($I$9="3ST",'Reference Tables (Intersection)'!O33,(IF($I$9="4ST",+'Reference Tables (Intersection)'!R33,+'Reference Tables (Intersection)'!U33)))/100))</f>
        <v>0.247</v>
      </c>
      <c r="K52" s="266"/>
      <c r="L52" s="396" t="e">
        <f t="shared" si="2"/>
        <v>#NUM!</v>
      </c>
      <c r="M52" s="426"/>
    </row>
    <row r="53" spans="1:13" x14ac:dyDescent="0.25">
      <c r="A53" s="410" t="s">
        <v>112</v>
      </c>
      <c r="B53" s="411"/>
      <c r="C53" s="7">
        <f>IF('Reference Tables (Intersection)'!$D$27="No",(IF($I$9="3ST",'Reference Tables (Intersection)'!G34,(IF($I$9="4ST",'Reference Tables (Intersection)'!J34,'Reference Tables (Intersection)'!M34)))/100),(IF($I$9="3ST",'Reference Tables (Intersection)'!P34,(IF($I$9="4ST",+'Reference Tables (Intersection)'!S34,+'Reference Tables (Intersection)'!V34)))/100))</f>
        <v>1.6E-2</v>
      </c>
      <c r="D53" s="396" t="e">
        <f t="shared" si="0"/>
        <v>#NUM!</v>
      </c>
      <c r="E53" s="397"/>
      <c r="F53" s="396">
        <f>IF('Reference Tables (Intersection)'!$D$27="No",(IF($I$9="3ST",'Reference Tables (Intersection)'!E34,(IF($I$9="4ST",'Reference Tables (Intersection)'!H34,'Reference Tables (Intersection)'!K34)))/100),(IF($I$9="3ST",'Reference Tables (Intersection)'!N34,(IF($I$9="4ST",+'Reference Tables (Intersection)'!Q34,+'Reference Tables (Intersection)'!T34)))/100))</f>
        <v>1.1000000000000001E-2</v>
      </c>
      <c r="G53" s="266"/>
      <c r="H53" s="396" t="e">
        <f t="shared" si="1"/>
        <v>#NUM!</v>
      </c>
      <c r="I53" s="397"/>
      <c r="J53" s="396">
        <f>IF('Reference Tables (Intersection)'!$D$27="No",(IF($I$9="3ST",'Reference Tables (Intersection)'!F34,(IF($I$9="4ST",'Reference Tables (Intersection)'!I34,'Reference Tables (Intersection)'!L34)))/100),(IF($I$9="3ST",'Reference Tables (Intersection)'!O34,(IF($I$9="4ST",+'Reference Tables (Intersection)'!R34,+'Reference Tables (Intersection)'!U34)))/100))</f>
        <v>0.02</v>
      </c>
      <c r="K53" s="266"/>
      <c r="L53" s="396" t="e">
        <f t="shared" si="2"/>
        <v>#NUM!</v>
      </c>
      <c r="M53" s="426"/>
    </row>
    <row r="54" spans="1:13" ht="13.8" thickBot="1" x14ac:dyDescent="0.3">
      <c r="A54" s="427" t="s">
        <v>113</v>
      </c>
      <c r="B54" s="428"/>
      <c r="C54" s="7">
        <f>IF('Reference Tables (Intersection)'!$D$27="No",(IF($I$9="3ST",'Reference Tables (Intersection)'!G35,(IF($I$9="4ST",'Reference Tables (Intersection)'!J35,'Reference Tables (Intersection)'!M35)))/100),(IF($I$9="3ST",'Reference Tables (Intersection)'!P35,(IF($I$9="4ST",+'Reference Tables (Intersection)'!S35,+'Reference Tables (Intersection)'!V35)))/100))</f>
        <v>0.29399999999999998</v>
      </c>
      <c r="D54" s="429" t="e">
        <f t="shared" si="0"/>
        <v>#NUM!</v>
      </c>
      <c r="E54" s="430"/>
      <c r="F54" s="429">
        <f>IF('Reference Tables (Intersection)'!$D$27="No",(IF($I$9="3ST",'Reference Tables (Intersection)'!E35,(IF($I$9="4ST",'Reference Tables (Intersection)'!H35,'Reference Tables (Intersection)'!K35)))/100),(IF($I$9="3ST",'Reference Tables (Intersection)'!N35,(IF($I$9="4ST",+'Reference Tables (Intersection)'!Q35,+'Reference Tables (Intersection)'!T35)))/100))</f>
        <v>0.28300000000000003</v>
      </c>
      <c r="G54" s="268"/>
      <c r="H54" s="429" t="e">
        <f t="shared" si="1"/>
        <v>#NUM!</v>
      </c>
      <c r="I54" s="430"/>
      <c r="J54" s="429">
        <f>IF('Reference Tables (Intersection)'!$D$27="No",(IF($I$9="3ST",'Reference Tables (Intersection)'!F35,(IF($I$9="4ST",'Reference Tables (Intersection)'!I35,'Reference Tables (Intersection)'!L35)))/100),(IF($I$9="3ST",'Reference Tables (Intersection)'!O35,(IF($I$9="4ST",+'Reference Tables (Intersection)'!R35,+'Reference Tables (Intersection)'!U35)))/100))</f>
        <v>0.30199999999999999</v>
      </c>
      <c r="K54" s="268"/>
      <c r="L54" s="429" t="e">
        <f t="shared" si="2"/>
        <v>#NUM!</v>
      </c>
      <c r="M54" s="431"/>
    </row>
    <row r="55" spans="1:13" ht="13.8" thickBot="1" x14ac:dyDescent="0.3">
      <c r="A55" s="416" t="s">
        <v>114</v>
      </c>
      <c r="B55" s="417"/>
      <c r="C55" s="417"/>
      <c r="D55" s="417"/>
      <c r="E55" s="417"/>
      <c r="F55" s="417"/>
      <c r="G55" s="417"/>
      <c r="H55" s="418"/>
      <c r="I55" s="418"/>
      <c r="J55" s="418"/>
      <c r="K55" s="418"/>
      <c r="L55" s="418"/>
      <c r="M55" s="418"/>
    </row>
    <row r="56" spans="1:13" x14ac:dyDescent="0.25">
      <c r="A56" s="432" t="s">
        <v>115</v>
      </c>
      <c r="B56" s="433"/>
      <c r="C56" s="7">
        <f>IF('Reference Tables (Intersection)'!$D$27="No",(IF($I$9="3ST",'Reference Tables (Intersection)'!G37,(IF($I$9="4ST",'Reference Tables (Intersection)'!J37,'Reference Tables (Intersection)'!M37)))/100),(IF($I$9="3ST",'Reference Tables (Intersection)'!P37,(IF($I$9="4ST",+'Reference Tables (Intersection)'!S37,+'Reference Tables (Intersection)'!V37)))/100))</f>
        <v>0.23699999999999999</v>
      </c>
      <c r="D56" s="421" t="e">
        <f t="shared" ref="D56:D61" si="3">+C56*$D$45</f>
        <v>#NUM!</v>
      </c>
      <c r="E56" s="422"/>
      <c r="F56" s="421">
        <f>IF('Reference Tables (Intersection)'!$D$27="No",(IF($I$9="3ST",'Reference Tables (Intersection)'!E37,(IF($I$9="4ST",'Reference Tables (Intersection)'!H37,'Reference Tables (Intersection)'!K37)))/100),(IF($I$9="3ST",'Reference Tables (Intersection)'!N37,(IF($I$9="4ST",+'Reference Tables (Intersection)'!Q37,+'Reference Tables (Intersection)'!T37)))/100))</f>
        <v>0.27500000000000002</v>
      </c>
      <c r="G56" s="424"/>
      <c r="H56" s="421" t="e">
        <f t="shared" ref="H56:H61" si="4">+$H$45*F56</f>
        <v>#NUM!</v>
      </c>
      <c r="I56" s="422"/>
      <c r="J56" s="421">
        <f>IF('Reference Tables (Intersection)'!$D$27="No",(IF($I$9="3ST",'Reference Tables (Intersection)'!F37,(IF($I$9="4ST",'Reference Tables (Intersection)'!I37,'Reference Tables (Intersection)'!L37)))/100),(IF($I$9="3ST",'Reference Tables (Intersection)'!O37,(IF($I$9="4ST",+'Reference Tables (Intersection)'!R37,+'Reference Tables (Intersection)'!U37)))/100))</f>
        <v>0.21</v>
      </c>
      <c r="K56" s="424"/>
      <c r="L56" s="421" t="e">
        <f t="shared" ref="L56:L61" si="5">+$L$45*J56</f>
        <v>#NUM!</v>
      </c>
      <c r="M56" s="425"/>
    </row>
    <row r="57" spans="1:13" x14ac:dyDescent="0.25">
      <c r="A57" s="410" t="s">
        <v>116</v>
      </c>
      <c r="B57" s="411"/>
      <c r="C57" s="7">
        <f>IF('Reference Tables (Intersection)'!$D$27="No",(IF($I$9="3ST",'Reference Tables (Intersection)'!G38,(IF($I$9="4ST",'Reference Tables (Intersection)'!J38,'Reference Tables (Intersection)'!M38)))/100),(IF($I$9="3ST",'Reference Tables (Intersection)'!P38,(IF($I$9="4ST",+'Reference Tables (Intersection)'!S38,+'Reference Tables (Intersection)'!V38)))/100))</f>
        <v>5.2000000000000005E-2</v>
      </c>
      <c r="D57" s="396" t="e">
        <f t="shared" si="3"/>
        <v>#NUM!</v>
      </c>
      <c r="E57" s="397"/>
      <c r="F57" s="396">
        <f>IF('Reference Tables (Intersection)'!$D$27="No",(IF($I$9="3ST",'Reference Tables (Intersection)'!E38,(IF($I$9="4ST",'Reference Tables (Intersection)'!H38,'Reference Tables (Intersection)'!K38)))/100),(IF($I$9="3ST",'Reference Tables (Intersection)'!N38,(IF($I$9="4ST",+'Reference Tables (Intersection)'!Q38,+'Reference Tables (Intersection)'!T38)))/100))</f>
        <v>8.1000000000000003E-2</v>
      </c>
      <c r="G57" s="266"/>
      <c r="H57" s="396" t="e">
        <f t="shared" si="4"/>
        <v>#NUM!</v>
      </c>
      <c r="I57" s="397"/>
      <c r="J57" s="396">
        <f>IF('Reference Tables (Intersection)'!$D$27="No",(IF($I$9="3ST",'Reference Tables (Intersection)'!F38,(IF($I$9="4ST",'Reference Tables (Intersection)'!I38,'Reference Tables (Intersection)'!L38)))/100),(IF($I$9="3ST",'Reference Tables (Intersection)'!O38,(IF($I$9="4ST",+'Reference Tables (Intersection)'!R38,+'Reference Tables (Intersection)'!U38)))/100))</f>
        <v>3.2000000000000001E-2</v>
      </c>
      <c r="K57" s="266"/>
      <c r="L57" s="396" t="e">
        <f t="shared" si="5"/>
        <v>#NUM!</v>
      </c>
      <c r="M57" s="426"/>
    </row>
    <row r="58" spans="1:13" x14ac:dyDescent="0.25">
      <c r="A58" s="410" t="s">
        <v>117</v>
      </c>
      <c r="B58" s="411"/>
      <c r="C58" s="7">
        <f>IF('Reference Tables (Intersection)'!$D$27="No",(IF($I$9="3ST",'Reference Tables (Intersection)'!G39,(IF($I$9="4ST",'Reference Tables (Intersection)'!J39,'Reference Tables (Intersection)'!M39)))/100),(IF($I$9="3ST",'Reference Tables (Intersection)'!P39,(IF($I$9="4ST",+'Reference Tables (Intersection)'!S39,+'Reference Tables (Intersection)'!V39)))/100))</f>
        <v>0.27800000000000002</v>
      </c>
      <c r="D58" s="396" t="e">
        <f t="shared" si="3"/>
        <v>#NUM!</v>
      </c>
      <c r="E58" s="397"/>
      <c r="F58" s="396">
        <f>IF('Reference Tables (Intersection)'!$D$27="No",(IF($I$9="3ST",'Reference Tables (Intersection)'!E39,(IF($I$9="4ST",'Reference Tables (Intersection)'!H39,'Reference Tables (Intersection)'!K39)))/100),(IF($I$9="3ST",'Reference Tables (Intersection)'!N39,(IF($I$9="4ST",+'Reference Tables (Intersection)'!Q39,+'Reference Tables (Intersection)'!T39)))/100))</f>
        <v>0.26</v>
      </c>
      <c r="G58" s="266"/>
      <c r="H58" s="396" t="e">
        <f t="shared" si="4"/>
        <v>#NUM!</v>
      </c>
      <c r="I58" s="397"/>
      <c r="J58" s="396">
        <f>IF('Reference Tables (Intersection)'!$D$27="No",(IF($I$9="3ST",'Reference Tables (Intersection)'!F39,(IF($I$9="4ST",'Reference Tables (Intersection)'!I39,'Reference Tables (Intersection)'!L39)))/100),(IF($I$9="3ST",'Reference Tables (Intersection)'!O39,(IF($I$9="4ST",+'Reference Tables (Intersection)'!R39,+'Reference Tables (Intersection)'!U39)))/100))</f>
        <v>0.29199999999999998</v>
      </c>
      <c r="K58" s="266"/>
      <c r="L58" s="396" t="e">
        <f t="shared" si="5"/>
        <v>#NUM!</v>
      </c>
      <c r="M58" s="426"/>
    </row>
    <row r="59" spans="1:13" x14ac:dyDescent="0.25">
      <c r="A59" s="410" t="s">
        <v>118</v>
      </c>
      <c r="B59" s="411"/>
      <c r="C59" s="7">
        <f>IF('Reference Tables (Intersection)'!$D$27="No",(IF($I$9="3ST",'Reference Tables (Intersection)'!G40,(IF($I$9="4ST",'Reference Tables (Intersection)'!J40,'Reference Tables (Intersection)'!M40)))/100),(IF($I$9="3ST",'Reference Tables (Intersection)'!P40,(IF($I$9="4ST",+'Reference Tables (Intersection)'!S40,+'Reference Tables (Intersection)'!V40)))/100))</f>
        <v>9.6999999999999989E-2</v>
      </c>
      <c r="D59" s="396" t="e">
        <f t="shared" si="3"/>
        <v>#NUM!</v>
      </c>
      <c r="E59" s="397"/>
      <c r="F59" s="396">
        <f>IF('Reference Tables (Intersection)'!$D$27="No",(IF($I$9="3ST",'Reference Tables (Intersection)'!E40,(IF($I$9="4ST",'Reference Tables (Intersection)'!H40,'Reference Tables (Intersection)'!K40)))/100),(IF($I$9="3ST",'Reference Tables (Intersection)'!N40,(IF($I$9="4ST",+'Reference Tables (Intersection)'!Q40,+'Reference Tables (Intersection)'!T40)))/100))</f>
        <v>5.0999999999999997E-2</v>
      </c>
      <c r="G59" s="266"/>
      <c r="H59" s="396" t="e">
        <f t="shared" si="4"/>
        <v>#NUM!</v>
      </c>
      <c r="I59" s="397"/>
      <c r="J59" s="396">
        <f>IF('Reference Tables (Intersection)'!$D$27="No",(IF($I$9="3ST",'Reference Tables (Intersection)'!F40,(IF($I$9="4ST",'Reference Tables (Intersection)'!I40,'Reference Tables (Intersection)'!L40)))/100),(IF($I$9="3ST",'Reference Tables (Intersection)'!O40,(IF($I$9="4ST",+'Reference Tables (Intersection)'!R40,+'Reference Tables (Intersection)'!U40)))/100))</f>
        <v>0.13100000000000001</v>
      </c>
      <c r="K59" s="266"/>
      <c r="L59" s="396" t="e">
        <f t="shared" si="5"/>
        <v>#NUM!</v>
      </c>
      <c r="M59" s="426"/>
    </row>
    <row r="60" spans="1:13" x14ac:dyDescent="0.25">
      <c r="A60" s="410" t="s">
        <v>119</v>
      </c>
      <c r="B60" s="411"/>
      <c r="C60" s="7">
        <f>IF('Reference Tables (Intersection)'!$D$27="No",(IF($I$9="3ST",'Reference Tables (Intersection)'!G41,(IF($I$9="4ST",'Reference Tables (Intersection)'!J41,'Reference Tables (Intersection)'!M41)))/100),(IF($I$9="3ST",'Reference Tables (Intersection)'!P41,(IF($I$9="4ST",+'Reference Tables (Intersection)'!S41,+'Reference Tables (Intersection)'!V41)))/100))</f>
        <v>4.2000000000000003E-2</v>
      </c>
      <c r="D60" s="396" t="e">
        <f t="shared" si="3"/>
        <v>#NUM!</v>
      </c>
      <c r="E60" s="397"/>
      <c r="F60" s="396">
        <f>IF('Reference Tables (Intersection)'!$D$27="No",(IF($I$9="3ST",'Reference Tables (Intersection)'!E41,(IF($I$9="4ST",'Reference Tables (Intersection)'!H41,'Reference Tables (Intersection)'!K41)))/100),(IF($I$9="3ST",'Reference Tables (Intersection)'!N41,(IF($I$9="4ST",+'Reference Tables (Intersection)'!Q41,+'Reference Tables (Intersection)'!T41)))/100))</f>
        <v>0.05</v>
      </c>
      <c r="G60" s="266"/>
      <c r="H60" s="396" t="e">
        <f t="shared" si="4"/>
        <v>#NUM!</v>
      </c>
      <c r="I60" s="397"/>
      <c r="J60" s="396">
        <f>IF('Reference Tables (Intersection)'!$D$27="No",(IF($I$9="3ST",'Reference Tables (Intersection)'!F41,(IF($I$9="4ST",'Reference Tables (Intersection)'!I41,'Reference Tables (Intersection)'!L41)))/100),(IF($I$9="3ST",'Reference Tables (Intersection)'!O41,(IF($I$9="4ST",+'Reference Tables (Intersection)'!R41,+'Reference Tables (Intersection)'!U41)))/100))</f>
        <v>3.3000000000000002E-2</v>
      </c>
      <c r="K60" s="266"/>
      <c r="L60" s="396" t="e">
        <f t="shared" si="5"/>
        <v>#NUM!</v>
      </c>
      <c r="M60" s="426"/>
    </row>
    <row r="61" spans="1:13" ht="13.8" thickBot="1" x14ac:dyDescent="0.3">
      <c r="A61" s="434" t="s">
        <v>152</v>
      </c>
      <c r="B61" s="428"/>
      <c r="C61" s="107">
        <f>IF('Reference Tables (Intersection)'!$D$27="No",(IF($I$9="3ST",'Reference Tables (Intersection)'!G42,(IF($I$9="4ST",'Reference Tables (Intersection)'!J42,'Reference Tables (Intersection)'!M42)))/100),(IF($I$9="3ST",'Reference Tables (Intersection)'!P42,(IF($I$9="4ST",+'Reference Tables (Intersection)'!S42,+'Reference Tables (Intersection)'!V42)))/100))</f>
        <v>0.70600000000000007</v>
      </c>
      <c r="D61" s="429" t="e">
        <f t="shared" si="3"/>
        <v>#NUM!</v>
      </c>
      <c r="E61" s="430"/>
      <c r="F61" s="429">
        <f>IF('Reference Tables (Intersection)'!$D$27="No",(IF($I$9="3ST",'Reference Tables (Intersection)'!E42,(IF($I$9="4ST",'Reference Tables (Intersection)'!H42,'Reference Tables (Intersection)'!K42)))/100),(IF($I$9="3ST",'Reference Tables (Intersection)'!N42,(IF($I$9="4ST",+'Reference Tables (Intersection)'!Q42,+'Reference Tables (Intersection)'!T42)))/100))</f>
        <v>0.71700000000000008</v>
      </c>
      <c r="G61" s="268"/>
      <c r="H61" s="429" t="e">
        <f t="shared" si="4"/>
        <v>#NUM!</v>
      </c>
      <c r="I61" s="430"/>
      <c r="J61" s="429">
        <f>IF('Reference Tables (Intersection)'!$D$27="No",(IF($I$9="3ST",'Reference Tables (Intersection)'!F42,(IF($I$9="4ST",'Reference Tables (Intersection)'!I42,'Reference Tables (Intersection)'!L42)))/100),(IF($I$9="3ST",'Reference Tables (Intersection)'!O42,(IF($I$9="4ST",+'Reference Tables (Intersection)'!R42,+'Reference Tables (Intersection)'!U42)))/100))</f>
        <v>0.69799999999999995</v>
      </c>
      <c r="K61" s="268"/>
      <c r="L61" s="429" t="e">
        <f t="shared" si="5"/>
        <v>#NUM!</v>
      </c>
      <c r="M61" s="431"/>
    </row>
    <row r="62" spans="1:13" x14ac:dyDescent="0.25">
      <c r="A62" s="89"/>
      <c r="B62" s="8"/>
      <c r="C62" s="28"/>
      <c r="D62" s="90"/>
      <c r="E62" s="90"/>
      <c r="F62" s="108"/>
      <c r="G62" s="50"/>
      <c r="H62" s="90"/>
      <c r="I62" s="90"/>
      <c r="J62" s="90"/>
      <c r="K62" s="90"/>
      <c r="L62" s="90"/>
      <c r="M62" s="90"/>
    </row>
    <row r="63" spans="1:13" ht="13.8" thickBot="1" x14ac:dyDescent="0.3"/>
    <row r="64" spans="1:13" ht="14.4" thickTop="1" thickBot="1" x14ac:dyDescent="0.3">
      <c r="A64" s="291" t="s">
        <v>236</v>
      </c>
      <c r="B64" s="291"/>
      <c r="C64" s="291"/>
      <c r="D64" s="291"/>
      <c r="E64" s="291"/>
      <c r="F64" s="291"/>
      <c r="G64" s="291"/>
      <c r="H64" s="291"/>
      <c r="I64" s="291"/>
      <c r="J64" s="291"/>
      <c r="K64" s="291"/>
      <c r="L64" s="291"/>
      <c r="M64" s="291"/>
    </row>
    <row r="65" spans="1:14" x14ac:dyDescent="0.25">
      <c r="A65" s="382" t="s">
        <v>32</v>
      </c>
      <c r="B65" s="542"/>
      <c r="C65" s="542"/>
      <c r="D65" s="543"/>
      <c r="E65" s="544" t="s">
        <v>33</v>
      </c>
      <c r="F65" s="488"/>
      <c r="G65" s="488"/>
      <c r="H65" s="488"/>
      <c r="I65" s="523" t="s">
        <v>34</v>
      </c>
      <c r="J65" s="524"/>
      <c r="K65" s="524"/>
      <c r="L65" s="524"/>
      <c r="M65" s="525"/>
    </row>
    <row r="66" spans="1:14" x14ac:dyDescent="0.25">
      <c r="A66" s="399" t="s">
        <v>121</v>
      </c>
      <c r="B66" s="532"/>
      <c r="C66" s="532"/>
      <c r="D66" s="532"/>
      <c r="E66" s="536" t="s">
        <v>368</v>
      </c>
      <c r="F66" s="536"/>
      <c r="G66" s="536"/>
      <c r="H66" s="536"/>
      <c r="I66" s="538" t="s">
        <v>261</v>
      </c>
      <c r="J66" s="538"/>
      <c r="K66" s="538"/>
      <c r="L66" s="538"/>
      <c r="M66" s="539"/>
    </row>
    <row r="67" spans="1:14" x14ac:dyDescent="0.25">
      <c r="A67" s="533"/>
      <c r="B67" s="534"/>
      <c r="C67" s="534"/>
      <c r="D67" s="534"/>
      <c r="E67" s="537" t="s">
        <v>237</v>
      </c>
      <c r="F67" s="527"/>
      <c r="G67" s="527"/>
      <c r="H67" s="527"/>
      <c r="I67" s="530" t="s">
        <v>262</v>
      </c>
      <c r="J67" s="502"/>
      <c r="K67" s="502"/>
      <c r="L67" s="503"/>
      <c r="M67" s="531"/>
    </row>
    <row r="68" spans="1:14" x14ac:dyDescent="0.25">
      <c r="A68" s="461" t="s">
        <v>89</v>
      </c>
      <c r="B68" s="526"/>
      <c r="C68" s="526"/>
      <c r="D68" s="527"/>
      <c r="E68" s="396">
        <f>+F33</f>
        <v>1</v>
      </c>
      <c r="F68" s="282"/>
      <c r="G68" s="282"/>
      <c r="H68" s="266"/>
      <c r="I68" s="464" t="e">
        <f>+L33</f>
        <v>#NUM!</v>
      </c>
      <c r="J68" s="465"/>
      <c r="K68" s="465"/>
      <c r="L68" s="465"/>
      <c r="M68" s="465"/>
    </row>
    <row r="69" spans="1:14" x14ac:dyDescent="0.25">
      <c r="A69" s="461" t="s">
        <v>90</v>
      </c>
      <c r="B69" s="526"/>
      <c r="C69" s="526"/>
      <c r="D69" s="527"/>
      <c r="E69" s="396">
        <f>+F34</f>
        <v>0.41499999999999998</v>
      </c>
      <c r="F69" s="282"/>
      <c r="G69" s="282"/>
      <c r="H69" s="266"/>
      <c r="I69" s="464" t="e">
        <f>+L34</f>
        <v>#NUM!</v>
      </c>
      <c r="J69" s="465"/>
      <c r="K69" s="465"/>
      <c r="L69" s="465"/>
      <c r="M69" s="465"/>
    </row>
    <row r="70" spans="1:14" ht="13.8" thickBot="1" x14ac:dyDescent="0.3">
      <c r="A70" s="451" t="s">
        <v>91</v>
      </c>
      <c r="B70" s="528"/>
      <c r="C70" s="528"/>
      <c r="D70" s="529"/>
      <c r="E70" s="429">
        <f>+F35</f>
        <v>0.58499999999999996</v>
      </c>
      <c r="F70" s="535"/>
      <c r="G70" s="535"/>
      <c r="H70" s="268"/>
      <c r="I70" s="454" t="e">
        <f>+L35</f>
        <v>#NUM!</v>
      </c>
      <c r="J70" s="455"/>
      <c r="K70" s="455"/>
      <c r="L70" s="455"/>
      <c r="M70" s="455"/>
    </row>
    <row r="74" spans="1:14" x14ac:dyDescent="0.25">
      <c r="A74" s="67"/>
      <c r="B74" s="67"/>
      <c r="C74" s="67"/>
      <c r="D74" s="67"/>
      <c r="E74" s="67"/>
      <c r="F74" s="67"/>
      <c r="G74" s="67"/>
      <c r="H74" s="67"/>
      <c r="I74" s="67"/>
      <c r="J74" s="67"/>
      <c r="K74" s="67"/>
      <c r="L74" s="67"/>
      <c r="M74" s="67"/>
      <c r="N74" s="67"/>
    </row>
    <row r="75" spans="1:14" x14ac:dyDescent="0.25">
      <c r="A75" s="67"/>
      <c r="B75" s="67"/>
      <c r="C75" s="67"/>
      <c r="D75" s="67"/>
      <c r="E75" s="67"/>
      <c r="F75" s="67"/>
      <c r="G75" s="67"/>
      <c r="H75" s="67"/>
      <c r="I75" s="67"/>
      <c r="J75" s="67"/>
      <c r="K75" s="67"/>
      <c r="L75" s="67"/>
      <c r="M75" s="67"/>
      <c r="N75" s="67"/>
    </row>
    <row r="76" spans="1:14" x14ac:dyDescent="0.25">
      <c r="A76" s="76"/>
      <c r="B76" s="76"/>
      <c r="C76" s="76"/>
      <c r="D76" s="76"/>
      <c r="E76" s="76"/>
      <c r="F76" s="76"/>
      <c r="G76" s="76"/>
      <c r="H76" s="76"/>
      <c r="I76" s="76"/>
      <c r="J76" s="76"/>
      <c r="K76" s="76"/>
      <c r="L76" s="76"/>
      <c r="M76" s="76"/>
      <c r="N76" s="67"/>
    </row>
    <row r="77" spans="1:14" x14ac:dyDescent="0.25">
      <c r="A77" s="86"/>
      <c r="B77" s="86"/>
      <c r="C77" s="86"/>
      <c r="D77" s="87"/>
      <c r="E77" s="87"/>
      <c r="F77" s="87"/>
      <c r="G77" s="87"/>
      <c r="H77" s="87"/>
      <c r="I77" s="87"/>
      <c r="J77" s="87"/>
      <c r="K77" s="87"/>
      <c r="L77" s="87"/>
      <c r="M77" s="87"/>
      <c r="N77" s="67"/>
    </row>
    <row r="78" spans="1:14" x14ac:dyDescent="0.25">
      <c r="A78" s="86"/>
      <c r="B78" s="86"/>
      <c r="C78" s="86"/>
      <c r="D78" s="76"/>
      <c r="E78" s="67"/>
      <c r="F78" s="67"/>
      <c r="G78" s="76"/>
      <c r="H78" s="76"/>
      <c r="I78" s="76"/>
      <c r="J78" s="87"/>
      <c r="K78" s="87"/>
      <c r="L78" s="76"/>
      <c r="M78" s="76"/>
      <c r="N78" s="67"/>
    </row>
    <row r="79" spans="1:14" x14ac:dyDescent="0.25">
      <c r="A79" s="88"/>
      <c r="B79" s="88"/>
      <c r="C79" s="88"/>
      <c r="D79" s="78"/>
      <c r="E79" s="11"/>
      <c r="F79" s="11"/>
      <c r="G79" s="78"/>
      <c r="H79" s="11"/>
      <c r="I79" s="11"/>
      <c r="J79" s="11"/>
      <c r="K79" s="11"/>
      <c r="L79" s="35"/>
      <c r="M79" s="35"/>
      <c r="N79" s="67"/>
    </row>
    <row r="80" spans="1:14" x14ac:dyDescent="0.25">
      <c r="A80" s="88"/>
      <c r="B80" s="88"/>
      <c r="C80" s="88"/>
      <c r="D80" s="78"/>
      <c r="E80" s="11"/>
      <c r="F80" s="11"/>
      <c r="G80" s="78"/>
      <c r="H80" s="11"/>
      <c r="I80" s="11"/>
      <c r="J80" s="11"/>
      <c r="K80" s="11"/>
      <c r="L80" s="35"/>
      <c r="M80" s="35"/>
      <c r="N80" s="67"/>
    </row>
    <row r="81" spans="1:14" x14ac:dyDescent="0.25">
      <c r="A81" s="88"/>
      <c r="B81" s="88"/>
      <c r="C81" s="88"/>
      <c r="D81" s="78"/>
      <c r="E81" s="11"/>
      <c r="F81" s="11"/>
      <c r="G81" s="78"/>
      <c r="H81" s="11"/>
      <c r="I81" s="11"/>
      <c r="J81" s="11"/>
      <c r="K81" s="11"/>
      <c r="L81" s="35"/>
      <c r="M81" s="35"/>
      <c r="N81" s="67"/>
    </row>
    <row r="82" spans="1:14" x14ac:dyDescent="0.25">
      <c r="A82" s="67"/>
      <c r="B82" s="67"/>
      <c r="C82" s="67"/>
      <c r="D82" s="67"/>
      <c r="E82" s="67"/>
      <c r="F82" s="67"/>
      <c r="G82" s="67"/>
      <c r="H82" s="67"/>
      <c r="I82" s="67"/>
      <c r="J82" s="67"/>
      <c r="K82" s="67"/>
      <c r="L82" s="67"/>
      <c r="M82" s="67"/>
      <c r="N82" s="67"/>
    </row>
    <row r="83" spans="1:14" x14ac:dyDescent="0.25">
      <c r="A83" s="67"/>
      <c r="B83" s="67"/>
      <c r="C83" s="67"/>
      <c r="D83" s="67"/>
      <c r="E83" s="67"/>
      <c r="F83" s="67"/>
      <c r="G83" s="67"/>
      <c r="H83" s="67"/>
      <c r="I83" s="67"/>
      <c r="J83" s="67"/>
      <c r="K83" s="67"/>
      <c r="L83" s="67"/>
      <c r="M83" s="67"/>
      <c r="N83" s="67"/>
    </row>
    <row r="84" spans="1:14" x14ac:dyDescent="0.25">
      <c r="A84" s="67"/>
      <c r="B84" s="67"/>
      <c r="C84" s="67"/>
      <c r="D84" s="67"/>
      <c r="E84" s="67"/>
      <c r="F84" s="67"/>
      <c r="G84" s="67"/>
      <c r="H84" s="67"/>
      <c r="I84" s="67"/>
      <c r="J84" s="67"/>
      <c r="K84" s="67"/>
      <c r="L84" s="67"/>
      <c r="M84" s="67"/>
      <c r="N84" s="67"/>
    </row>
  </sheetData>
  <mergeCells count="239">
    <mergeCell ref="A2:M2"/>
    <mergeCell ref="A3:F3"/>
    <mergeCell ref="G3:M3"/>
    <mergeCell ref="A5:C5"/>
    <mergeCell ref="D5:F5"/>
    <mergeCell ref="G5:I5"/>
    <mergeCell ref="J5:M5"/>
    <mergeCell ref="A4:C4"/>
    <mergeCell ref="D4:F4"/>
    <mergeCell ref="J4:M4"/>
    <mergeCell ref="A8:F8"/>
    <mergeCell ref="G8:H8"/>
    <mergeCell ref="I8:M8"/>
    <mergeCell ref="G10:H10"/>
    <mergeCell ref="I10:M10"/>
    <mergeCell ref="A9:F9"/>
    <mergeCell ref="G9:H9"/>
    <mergeCell ref="I9:M9"/>
    <mergeCell ref="G4:I4"/>
    <mergeCell ref="A6:C6"/>
    <mergeCell ref="D6:F6"/>
    <mergeCell ref="G6:I6"/>
    <mergeCell ref="J6:M6"/>
    <mergeCell ref="A7:C7"/>
    <mergeCell ref="D7:F7"/>
    <mergeCell ref="G7:I7"/>
    <mergeCell ref="J7:M7"/>
    <mergeCell ref="K12:L12"/>
    <mergeCell ref="G12:H12"/>
    <mergeCell ref="G11:H11"/>
    <mergeCell ref="I11:M11"/>
    <mergeCell ref="A13:F13"/>
    <mergeCell ref="G13:H13"/>
    <mergeCell ref="I13:M13"/>
    <mergeCell ref="A10:C10"/>
    <mergeCell ref="A11:C11"/>
    <mergeCell ref="A14:F14"/>
    <mergeCell ref="G14:H14"/>
    <mergeCell ref="I14:M14"/>
    <mergeCell ref="A19:M19"/>
    <mergeCell ref="A16:F16"/>
    <mergeCell ref="G16:H16"/>
    <mergeCell ref="I16:M16"/>
    <mergeCell ref="A15:F15"/>
    <mergeCell ref="G15:H15"/>
    <mergeCell ref="I15:M15"/>
    <mergeCell ref="L20:M20"/>
    <mergeCell ref="F20:H20"/>
    <mergeCell ref="A40:B44"/>
    <mergeCell ref="A39:B39"/>
    <mergeCell ref="D39:E39"/>
    <mergeCell ref="F39:G39"/>
    <mergeCell ref="H39:I39"/>
    <mergeCell ref="J39:K39"/>
    <mergeCell ref="L39:M39"/>
    <mergeCell ref="I29:I30"/>
    <mergeCell ref="C29:D30"/>
    <mergeCell ref="A21:C21"/>
    <mergeCell ref="A22:C22"/>
    <mergeCell ref="A23:C23"/>
    <mergeCell ref="A27:M27"/>
    <mergeCell ref="I25:K25"/>
    <mergeCell ref="L28:M28"/>
    <mergeCell ref="I21:K21"/>
    <mergeCell ref="I22:K22"/>
    <mergeCell ref="I23:K23"/>
    <mergeCell ref="L43:M44"/>
    <mergeCell ref="A46:B46"/>
    <mergeCell ref="D46:E46"/>
    <mergeCell ref="F46:G46"/>
    <mergeCell ref="H46:I46"/>
    <mergeCell ref="J46:K46"/>
    <mergeCell ref="L46:M46"/>
    <mergeCell ref="A49:B49"/>
    <mergeCell ref="D49:E49"/>
    <mergeCell ref="F49:G49"/>
    <mergeCell ref="H49:I49"/>
    <mergeCell ref="J49:K49"/>
    <mergeCell ref="L49:M49"/>
    <mergeCell ref="A45:B45"/>
    <mergeCell ref="D45:E45"/>
    <mergeCell ref="H45:I45"/>
    <mergeCell ref="L45:M45"/>
    <mergeCell ref="C43:C44"/>
    <mergeCell ref="D43:E44"/>
    <mergeCell ref="F43:G44"/>
    <mergeCell ref="H43:I44"/>
    <mergeCell ref="J43:K44"/>
    <mergeCell ref="F45:G45"/>
    <mergeCell ref="A53:B53"/>
    <mergeCell ref="D53:E53"/>
    <mergeCell ref="F53:G53"/>
    <mergeCell ref="H53:I53"/>
    <mergeCell ref="J53:K53"/>
    <mergeCell ref="L53:M53"/>
    <mergeCell ref="D54:E54"/>
    <mergeCell ref="A50:B50"/>
    <mergeCell ref="D50:E50"/>
    <mergeCell ref="F50:G50"/>
    <mergeCell ref="H50:I50"/>
    <mergeCell ref="J50:K50"/>
    <mergeCell ref="L50:M50"/>
    <mergeCell ref="A51:B51"/>
    <mergeCell ref="D51:E51"/>
    <mergeCell ref="F51:G51"/>
    <mergeCell ref="H51:I51"/>
    <mergeCell ref="J51:K51"/>
    <mergeCell ref="L51:M51"/>
    <mergeCell ref="A52:B52"/>
    <mergeCell ref="D52:E52"/>
    <mergeCell ref="F52:G52"/>
    <mergeCell ref="H52:I52"/>
    <mergeCell ref="J33:K33"/>
    <mergeCell ref="J34:K34"/>
    <mergeCell ref="J40:K42"/>
    <mergeCell ref="H61:I61"/>
    <mergeCell ref="L56:M56"/>
    <mergeCell ref="L22:M22"/>
    <mergeCell ref="L23:M23"/>
    <mergeCell ref="J45:K45"/>
    <mergeCell ref="J48:K48"/>
    <mergeCell ref="J35:K35"/>
    <mergeCell ref="L60:M60"/>
    <mergeCell ref="H58:I58"/>
    <mergeCell ref="J58:K58"/>
    <mergeCell ref="H59:I59"/>
    <mergeCell ref="J59:K59"/>
    <mergeCell ref="L57:M57"/>
    <mergeCell ref="H56:I56"/>
    <mergeCell ref="J56:K56"/>
    <mergeCell ref="L29:M30"/>
    <mergeCell ref="L31:M32"/>
    <mergeCell ref="H48:I48"/>
    <mergeCell ref="H57:I57"/>
    <mergeCell ref="L54:M54"/>
    <mergeCell ref="L48:M48"/>
    <mergeCell ref="L21:M21"/>
    <mergeCell ref="D22:E22"/>
    <mergeCell ref="D23:E23"/>
    <mergeCell ref="F21:H21"/>
    <mergeCell ref="F22:H22"/>
    <mergeCell ref="F23:H23"/>
    <mergeCell ref="I24:K24"/>
    <mergeCell ref="L24:M24"/>
    <mergeCell ref="J28:K28"/>
    <mergeCell ref="C28:D28"/>
    <mergeCell ref="D21:E21"/>
    <mergeCell ref="A35:B35"/>
    <mergeCell ref="A55:M55"/>
    <mergeCell ref="D58:E58"/>
    <mergeCell ref="F58:G58"/>
    <mergeCell ref="A65:D65"/>
    <mergeCell ref="E65:H65"/>
    <mergeCell ref="A61:B61"/>
    <mergeCell ref="A60:B60"/>
    <mergeCell ref="D60:E60"/>
    <mergeCell ref="F60:G60"/>
    <mergeCell ref="H60:I60"/>
    <mergeCell ref="J60:K60"/>
    <mergeCell ref="A59:B59"/>
    <mergeCell ref="D59:E59"/>
    <mergeCell ref="F59:G59"/>
    <mergeCell ref="J57:K57"/>
    <mergeCell ref="A47:M47"/>
    <mergeCell ref="A48:B48"/>
    <mergeCell ref="J52:K52"/>
    <mergeCell ref="L52:M52"/>
    <mergeCell ref="A58:B58"/>
    <mergeCell ref="A56:B56"/>
    <mergeCell ref="D56:E56"/>
    <mergeCell ref="A54:B54"/>
    <mergeCell ref="I69:M69"/>
    <mergeCell ref="I70:M70"/>
    <mergeCell ref="I68:M68"/>
    <mergeCell ref="A68:D68"/>
    <mergeCell ref="A69:D69"/>
    <mergeCell ref="A70:D70"/>
    <mergeCell ref="I67:M67"/>
    <mergeCell ref="A66:D67"/>
    <mergeCell ref="E68:H68"/>
    <mergeCell ref="E69:H69"/>
    <mergeCell ref="E70:H70"/>
    <mergeCell ref="E66:H66"/>
    <mergeCell ref="E67:H67"/>
    <mergeCell ref="I66:M66"/>
    <mergeCell ref="A64:M64"/>
    <mergeCell ref="F54:G54"/>
    <mergeCell ref="H54:I54"/>
    <mergeCell ref="J54:K54"/>
    <mergeCell ref="L58:M58"/>
    <mergeCell ref="I65:M65"/>
    <mergeCell ref="F56:G56"/>
    <mergeCell ref="A57:B57"/>
    <mergeCell ref="D57:E57"/>
    <mergeCell ref="F57:G57"/>
    <mergeCell ref="C34:D34"/>
    <mergeCell ref="C35:D35"/>
    <mergeCell ref="C33:D33"/>
    <mergeCell ref="A34:B34"/>
    <mergeCell ref="F61:G61"/>
    <mergeCell ref="D61:E61"/>
    <mergeCell ref="G33:H33"/>
    <mergeCell ref="G34:H34"/>
    <mergeCell ref="A33:B33"/>
    <mergeCell ref="C40:C42"/>
    <mergeCell ref="D40:E42"/>
    <mergeCell ref="F40:G42"/>
    <mergeCell ref="H40:I42"/>
    <mergeCell ref="A38:M38"/>
    <mergeCell ref="L40:M42"/>
    <mergeCell ref="G35:H35"/>
    <mergeCell ref="L35:M35"/>
    <mergeCell ref="L33:M33"/>
    <mergeCell ref="L34:M34"/>
    <mergeCell ref="J61:K61"/>
    <mergeCell ref="L61:M61"/>
    <mergeCell ref="L59:M59"/>
    <mergeCell ref="D48:E48"/>
    <mergeCell ref="F48:G48"/>
    <mergeCell ref="A20:C20"/>
    <mergeCell ref="A24:C24"/>
    <mergeCell ref="A29:B32"/>
    <mergeCell ref="J29:K32"/>
    <mergeCell ref="F31:F32"/>
    <mergeCell ref="G31:H32"/>
    <mergeCell ref="I31:I32"/>
    <mergeCell ref="G28:H28"/>
    <mergeCell ref="D24:E24"/>
    <mergeCell ref="F24:H24"/>
    <mergeCell ref="A28:B28"/>
    <mergeCell ref="A25:C25"/>
    <mergeCell ref="F25:H25"/>
    <mergeCell ref="E29:E30"/>
    <mergeCell ref="G29:H30"/>
    <mergeCell ref="C31:D32"/>
    <mergeCell ref="E31:E32"/>
    <mergeCell ref="D20:E20"/>
    <mergeCell ref="I20:K20"/>
    <mergeCell ref="F29:F30"/>
  </mergeCells>
  <conditionalFormatting sqref="I10:M10">
    <cfRule type="cellIs" dxfId="1" priority="2" stopIfTrue="1" operator="greaterThan">
      <formula>$E$10</formula>
    </cfRule>
  </conditionalFormatting>
  <conditionalFormatting sqref="I11:M11">
    <cfRule type="cellIs" dxfId="0" priority="1" stopIfTrue="1" operator="greaterThan">
      <formula>$E$11</formula>
    </cfRule>
  </conditionalFormatting>
  <dataValidations count="12">
    <dataValidation operator="greaterThan" allowBlank="1" showInputMessage="1" showErrorMessage="1" sqref="K12 I12" xr:uid="{00000000-0002-0000-0200-000000000000}"/>
    <dataValidation type="list" operator="greaterThan" allowBlank="1" showInputMessage="1" showErrorMessage="1" sqref="I9:M9" xr:uid="{00000000-0002-0000-0200-000001000000}">
      <formula1>IType</formula1>
    </dataValidation>
    <dataValidation type="whole" operator="lessThanOrEqual" allowBlank="1" showInputMessage="1" showErrorMessage="1" sqref="I11:M11" xr:uid="{00000000-0002-0000-0200-000002000000}">
      <formula1>12500</formula1>
    </dataValidation>
    <dataValidation allowBlank="1" showInputMessage="1" showErrorMessage="1" errorTitle="Invalid" sqref="L25:M25" xr:uid="{00000000-0002-0000-0200-000003000000}"/>
    <dataValidation type="list" allowBlank="1" showInputMessage="1" showErrorMessage="1" sqref="I13:M13" xr:uid="{00000000-0002-0000-0200-000004000000}">
      <formula1>LApproach</formula1>
    </dataValidation>
    <dataValidation type="list" allowBlank="1" showInputMessage="1" showErrorMessage="1" sqref="I14:M14" xr:uid="{00000000-0002-0000-0200-000005000000}">
      <formula1>RApproach</formula1>
    </dataValidation>
    <dataValidation type="list" allowBlank="1" showInputMessage="1" showErrorMessage="1" sqref="I15:M15" xr:uid="{00000000-0002-0000-0200-000006000000}">
      <formula1>ILight</formula1>
    </dataValidation>
    <dataValidation type="list" allowBlank="1" showInputMessage="1" showErrorMessage="1" sqref="F12" xr:uid="{00000000-0002-0000-0200-000007000000}">
      <formula1>Differ</formula1>
    </dataValidation>
    <dataValidation type="whole" allowBlank="1" showInputMessage="1" showErrorMessage="1" sqref="M12 J12" xr:uid="{00000000-0002-0000-0200-000008000000}">
      <formula1>0</formula1>
      <formula2>90</formula2>
    </dataValidation>
    <dataValidation type="whole" operator="greaterThan" allowBlank="1" showInputMessage="1" showErrorMessage="1" sqref="J7:M7" xr:uid="{00000000-0002-0000-0200-000009000000}">
      <formula1>1990</formula1>
    </dataValidation>
    <dataValidation type="decimal" allowBlank="1" showInputMessage="1" showErrorMessage="1" sqref="I16:M16" xr:uid="{00000000-0002-0000-0200-00000A000000}">
      <formula1>0</formula1>
      <formula2>10</formula2>
    </dataValidation>
    <dataValidation type="whole" operator="lessThanOrEqual" allowBlank="1" showInputMessage="1" showErrorMessage="1" sqref="I10:M10" xr:uid="{00000000-0002-0000-0200-00000B000000}">
      <formula1>25200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BA82"/>
  <sheetViews>
    <sheetView zoomScaleNormal="100" workbookViewId="0"/>
  </sheetViews>
  <sheetFormatPr defaultColWidth="9.109375" defaultRowHeight="13.2" x14ac:dyDescent="0.25"/>
  <cols>
    <col min="1" max="7" width="13.6640625" style="67" customWidth="1"/>
    <col min="8" max="8" width="15.33203125" style="67" customWidth="1"/>
    <col min="9" max="9" width="13.6640625" style="67" customWidth="1"/>
    <col min="10" max="10" width="15.88671875" style="67" customWidth="1"/>
    <col min="11" max="17" width="13.6640625" style="67" customWidth="1"/>
    <col min="18" max="27" width="12.6640625" style="67" customWidth="1"/>
    <col min="28" max="33" width="9.109375" style="67"/>
    <col min="34" max="34" width="11" style="67" customWidth="1"/>
    <col min="35" max="35" width="12.44140625" style="67" customWidth="1"/>
    <col min="36" max="36" width="10.44140625" style="67" customWidth="1"/>
    <col min="37" max="37" width="10.6640625" style="67" customWidth="1"/>
    <col min="38" max="38" width="12.44140625" style="67" customWidth="1"/>
    <col min="39" max="39" width="10.44140625" style="67" customWidth="1"/>
    <col min="40" max="40" width="11.6640625" style="67" customWidth="1"/>
    <col min="41" max="41" width="10.44140625" style="67" customWidth="1"/>
    <col min="42" max="43" width="9.109375" style="67"/>
    <col min="44" max="44" width="10.109375" style="67" customWidth="1"/>
    <col min="45" max="16384" width="9.109375" style="67"/>
  </cols>
  <sheetData>
    <row r="1" spans="1:53" x14ac:dyDescent="0.25">
      <c r="L1" s="69"/>
      <c r="O1" s="11"/>
      <c r="U1" s="130"/>
    </row>
    <row r="2" spans="1:53" ht="13.8" thickBot="1" x14ac:dyDescent="0.3">
      <c r="L2" s="69"/>
      <c r="O2" s="11"/>
      <c r="U2" s="130"/>
    </row>
    <row r="3" spans="1:53" ht="13.8" thickTop="1" x14ac:dyDescent="0.25">
      <c r="A3" s="128"/>
      <c r="B3" s="592" t="s">
        <v>283</v>
      </c>
      <c r="C3" s="593"/>
      <c r="D3" s="593"/>
      <c r="E3" s="593"/>
      <c r="F3" s="593"/>
      <c r="G3" s="593"/>
      <c r="H3" s="593"/>
      <c r="I3" s="593"/>
      <c r="J3" s="593"/>
      <c r="K3" s="125"/>
      <c r="L3" s="87"/>
      <c r="M3" s="87"/>
      <c r="N3" s="87"/>
      <c r="O3" s="87"/>
      <c r="P3" s="87"/>
      <c r="Q3" s="87"/>
      <c r="R3" s="87"/>
      <c r="S3" s="87"/>
      <c r="T3" s="87"/>
      <c r="U3" s="131"/>
      <c r="V3" s="131"/>
      <c r="W3" s="97"/>
      <c r="X3" s="97"/>
      <c r="Y3" s="97"/>
      <c r="AH3" s="97"/>
      <c r="AR3" s="97"/>
      <c r="AS3" s="97"/>
      <c r="AT3" s="97"/>
      <c r="AU3" s="97"/>
      <c r="AV3" s="97"/>
      <c r="AW3" s="97"/>
      <c r="AX3" s="97"/>
      <c r="AY3" s="97"/>
      <c r="AZ3" s="97"/>
      <c r="BA3" s="97"/>
    </row>
    <row r="4" spans="1:53" ht="13.8" thickBot="1" x14ac:dyDescent="0.3">
      <c r="A4" s="97"/>
      <c r="B4" s="594"/>
      <c r="C4" s="594"/>
      <c r="D4" s="594"/>
      <c r="E4" s="594"/>
      <c r="F4" s="594"/>
      <c r="G4" s="594"/>
      <c r="H4" s="594"/>
      <c r="I4" s="594"/>
      <c r="J4" s="594"/>
      <c r="K4" s="11"/>
      <c r="L4" s="87"/>
      <c r="M4" s="87"/>
      <c r="N4" s="87"/>
      <c r="O4" s="87"/>
      <c r="P4" s="87"/>
      <c r="Q4" s="87"/>
      <c r="R4" s="87"/>
      <c r="S4" s="87"/>
      <c r="T4" s="87"/>
      <c r="U4" s="131"/>
      <c r="V4" s="131"/>
      <c r="W4" s="11"/>
      <c r="X4" s="11"/>
      <c r="Y4" s="11"/>
      <c r="AR4" s="97"/>
      <c r="AS4" s="97"/>
      <c r="AT4" s="97"/>
      <c r="AU4" s="97"/>
      <c r="AV4" s="97"/>
      <c r="AW4" s="97"/>
      <c r="AX4" s="97"/>
      <c r="AY4" s="97"/>
      <c r="AZ4" s="97"/>
      <c r="BA4" s="97"/>
    </row>
    <row r="5" spans="1:53" x14ac:dyDescent="0.25">
      <c r="B5" s="493" t="s">
        <v>32</v>
      </c>
      <c r="C5" s="543"/>
      <c r="D5" s="84" t="s">
        <v>33</v>
      </c>
      <c r="E5" s="84" t="s">
        <v>34</v>
      </c>
      <c r="F5" s="84" t="s">
        <v>35</v>
      </c>
      <c r="G5" s="84" t="s">
        <v>36</v>
      </c>
      <c r="H5" s="84" t="s">
        <v>37</v>
      </c>
      <c r="I5" s="84" t="s">
        <v>38</v>
      </c>
      <c r="J5" s="132" t="s">
        <v>39</v>
      </c>
      <c r="K5" s="99"/>
      <c r="L5" s="86"/>
      <c r="M5" s="86"/>
      <c r="N5" s="86"/>
      <c r="O5" s="125"/>
      <c r="P5" s="125"/>
      <c r="Q5" s="125"/>
      <c r="R5" s="125"/>
      <c r="S5" s="125"/>
      <c r="T5" s="125"/>
      <c r="W5" s="125"/>
      <c r="X5" s="125"/>
      <c r="Y5" s="125"/>
      <c r="AH5" s="97"/>
      <c r="AI5" s="97"/>
      <c r="AJ5" s="97"/>
      <c r="AK5" s="11"/>
      <c r="AL5" s="97"/>
      <c r="AM5" s="11"/>
      <c r="AN5" s="11"/>
      <c r="AO5" s="11"/>
      <c r="AR5" s="97"/>
      <c r="AS5" s="97"/>
      <c r="AT5" s="97"/>
      <c r="AU5" s="97"/>
      <c r="AV5" s="97"/>
      <c r="AW5" s="97"/>
      <c r="AX5" s="97"/>
      <c r="AY5" s="97"/>
      <c r="AZ5" s="97"/>
      <c r="BA5" s="97"/>
    </row>
    <row r="6" spans="1:53" ht="12.75" customHeight="1" x14ac:dyDescent="0.25">
      <c r="B6" s="595" t="s">
        <v>284</v>
      </c>
      <c r="C6" s="596"/>
      <c r="D6" s="598" t="s">
        <v>122</v>
      </c>
      <c r="E6" s="599"/>
      <c r="F6" s="599"/>
      <c r="G6" s="601" t="s">
        <v>285</v>
      </c>
      <c r="H6" s="601" t="s">
        <v>81</v>
      </c>
      <c r="I6" s="601" t="s">
        <v>286</v>
      </c>
      <c r="J6" s="602" t="s">
        <v>287</v>
      </c>
      <c r="L6" s="131"/>
      <c r="M6" s="131"/>
      <c r="N6" s="131"/>
      <c r="O6" s="125"/>
      <c r="P6" s="125"/>
      <c r="Q6" s="125"/>
      <c r="S6" s="97"/>
      <c r="W6" s="97"/>
      <c r="X6" s="97"/>
      <c r="Y6" s="97"/>
      <c r="AH6" s="97"/>
      <c r="AI6" s="97"/>
      <c r="AJ6" s="11"/>
      <c r="AK6" s="11"/>
      <c r="AL6" s="11"/>
      <c r="AM6" s="11"/>
      <c r="AN6" s="11"/>
      <c r="AO6" s="11"/>
      <c r="AR6" s="97"/>
      <c r="AS6" s="97"/>
      <c r="AT6" s="97"/>
      <c r="AU6" s="97"/>
      <c r="AV6" s="97"/>
      <c r="AW6" s="97"/>
      <c r="AX6" s="97"/>
      <c r="AY6" s="97"/>
      <c r="AZ6" s="97"/>
      <c r="BA6" s="97"/>
    </row>
    <row r="7" spans="1:53" x14ac:dyDescent="0.25">
      <c r="B7" s="533"/>
      <c r="C7" s="534"/>
      <c r="D7" s="599"/>
      <c r="E7" s="599"/>
      <c r="F7" s="599"/>
      <c r="G7" s="532"/>
      <c r="H7" s="589"/>
      <c r="I7" s="532"/>
      <c r="J7" s="398"/>
      <c r="L7" s="119"/>
      <c r="M7" s="11"/>
      <c r="N7" s="11"/>
      <c r="O7" s="133"/>
      <c r="P7" s="133"/>
      <c r="Q7" s="133"/>
      <c r="R7" s="133"/>
      <c r="S7" s="133"/>
      <c r="T7" s="133"/>
      <c r="U7" s="133"/>
      <c r="V7" s="133"/>
      <c r="W7" s="11"/>
      <c r="X7" s="97"/>
      <c r="Y7" s="11"/>
      <c r="AH7" s="11"/>
      <c r="AI7" s="11"/>
      <c r="AJ7" s="11"/>
      <c r="AK7" s="11"/>
      <c r="AL7" s="134"/>
      <c r="AM7" s="134"/>
      <c r="AN7" s="134"/>
      <c r="AO7" s="134"/>
      <c r="AR7" s="69"/>
      <c r="AS7" s="65"/>
      <c r="AT7" s="65"/>
      <c r="AU7" s="65"/>
      <c r="AV7" s="65"/>
      <c r="AW7" s="65"/>
      <c r="AX7" s="65"/>
      <c r="AY7" s="65"/>
      <c r="AZ7" s="65"/>
      <c r="BA7" s="65"/>
    </row>
    <row r="8" spans="1:53" ht="12.75" customHeight="1" x14ac:dyDescent="0.25">
      <c r="B8" s="533"/>
      <c r="C8" s="534"/>
      <c r="D8" s="600"/>
      <c r="E8" s="600"/>
      <c r="F8" s="600"/>
      <c r="G8" s="532"/>
      <c r="H8" s="589"/>
      <c r="I8" s="534"/>
      <c r="J8" s="603"/>
      <c r="K8" s="135"/>
      <c r="O8" s="79"/>
      <c r="P8" s="79"/>
      <c r="Q8" s="79"/>
      <c r="R8" s="79"/>
      <c r="S8" s="79"/>
      <c r="T8" s="79"/>
      <c r="U8" s="79"/>
      <c r="V8" s="79"/>
      <c r="W8" s="11"/>
      <c r="X8" s="11"/>
      <c r="Y8" s="11"/>
      <c r="AH8" s="11"/>
      <c r="AI8" s="11"/>
      <c r="AJ8" s="11"/>
      <c r="AK8" s="11"/>
      <c r="AL8" s="136"/>
      <c r="AM8" s="136"/>
      <c r="AN8" s="136"/>
      <c r="AO8" s="136"/>
      <c r="AR8" s="69"/>
      <c r="AS8" s="65"/>
      <c r="AT8" s="65"/>
      <c r="AU8" s="65"/>
      <c r="AV8" s="65"/>
      <c r="AW8" s="65"/>
      <c r="AX8" s="65"/>
      <c r="AY8" s="65"/>
      <c r="AZ8" s="65"/>
      <c r="BA8" s="65"/>
    </row>
    <row r="9" spans="1:53" x14ac:dyDescent="0.25">
      <c r="A9" s="97"/>
      <c r="B9" s="533"/>
      <c r="C9" s="534"/>
      <c r="D9" s="588" t="s">
        <v>288</v>
      </c>
      <c r="E9" s="588" t="s">
        <v>289</v>
      </c>
      <c r="F9" s="588" t="s">
        <v>290</v>
      </c>
      <c r="G9" s="532"/>
      <c r="H9" s="589"/>
      <c r="I9" s="588" t="s">
        <v>291</v>
      </c>
      <c r="J9" s="604" t="s">
        <v>292</v>
      </c>
      <c r="K9" s="99"/>
      <c r="M9" s="122"/>
      <c r="N9" s="122"/>
      <c r="O9" s="123"/>
      <c r="P9" s="123"/>
      <c r="Q9" s="123"/>
      <c r="R9" s="78"/>
      <c r="S9" s="78"/>
      <c r="T9" s="78"/>
      <c r="U9" s="78"/>
      <c r="V9" s="78"/>
      <c r="AH9" s="119"/>
      <c r="AI9" s="11"/>
      <c r="AJ9" s="137"/>
      <c r="AK9" s="11"/>
      <c r="AL9" s="138"/>
      <c r="AM9" s="138"/>
      <c r="AN9" s="139"/>
      <c r="AO9" s="139"/>
      <c r="AR9" s="69"/>
      <c r="AS9" s="65"/>
      <c r="AT9" s="65"/>
      <c r="AU9" s="65"/>
      <c r="AV9" s="65"/>
      <c r="AW9" s="65"/>
      <c r="AX9" s="65"/>
      <c r="AY9" s="65"/>
      <c r="AZ9" s="65"/>
      <c r="BA9" s="65"/>
    </row>
    <row r="10" spans="1:53" x14ac:dyDescent="0.25">
      <c r="A10" s="97"/>
      <c r="B10" s="533"/>
      <c r="C10" s="534"/>
      <c r="D10" s="589"/>
      <c r="E10" s="589"/>
      <c r="F10" s="589"/>
      <c r="G10" s="534"/>
      <c r="H10" s="534"/>
      <c r="I10" s="588"/>
      <c r="J10" s="604"/>
      <c r="K10" s="99"/>
      <c r="M10" s="122"/>
      <c r="N10" s="122"/>
      <c r="O10" s="123"/>
      <c r="P10" s="123"/>
      <c r="Q10" s="123"/>
      <c r="R10" s="78"/>
      <c r="S10" s="78"/>
      <c r="T10" s="78"/>
      <c r="U10" s="78"/>
      <c r="V10" s="78"/>
      <c r="AH10" s="119"/>
      <c r="AI10" s="11"/>
      <c r="AJ10" s="137"/>
      <c r="AK10" s="11"/>
      <c r="AL10" s="138"/>
      <c r="AM10" s="138"/>
      <c r="AN10" s="139"/>
      <c r="AO10" s="139"/>
      <c r="AR10" s="69"/>
      <c r="AS10" s="65"/>
      <c r="AT10" s="65"/>
      <c r="AU10" s="65"/>
      <c r="AV10" s="65"/>
      <c r="AW10" s="65"/>
      <c r="AX10" s="65"/>
      <c r="AY10" s="65"/>
      <c r="AZ10" s="65"/>
      <c r="BA10" s="65"/>
    </row>
    <row r="11" spans="1:53" ht="13.8" thickBot="1" x14ac:dyDescent="0.3">
      <c r="A11" s="69"/>
      <c r="B11" s="597"/>
      <c r="C11" s="590"/>
      <c r="D11" s="590"/>
      <c r="E11" s="590"/>
      <c r="F11" s="590"/>
      <c r="G11" s="590"/>
      <c r="H11" s="590"/>
      <c r="I11" s="590"/>
      <c r="J11" s="605"/>
      <c r="K11" s="130"/>
      <c r="L11" s="122"/>
      <c r="M11" s="122"/>
      <c r="N11" s="122"/>
      <c r="O11" s="78"/>
      <c r="P11" s="78"/>
      <c r="Q11" s="78"/>
      <c r="R11" s="78"/>
      <c r="S11" s="78"/>
      <c r="T11" s="78"/>
      <c r="U11" s="78"/>
      <c r="V11" s="78"/>
      <c r="W11" s="35"/>
      <c r="X11" s="35"/>
      <c r="Y11" s="35"/>
      <c r="AH11" s="11"/>
      <c r="AI11" s="11"/>
      <c r="AJ11" s="11"/>
      <c r="AK11" s="11"/>
      <c r="AL11" s="138"/>
      <c r="AM11" s="138"/>
      <c r="AN11" s="138"/>
      <c r="AO11" s="138"/>
      <c r="AR11" s="69"/>
      <c r="AS11" s="65"/>
      <c r="AT11" s="65"/>
      <c r="AU11" s="65"/>
      <c r="AV11" s="65"/>
      <c r="AW11" s="65"/>
      <c r="AX11" s="65"/>
      <c r="AY11" s="65"/>
      <c r="AZ11" s="65"/>
      <c r="BA11" s="65"/>
    </row>
    <row r="12" spans="1:53" x14ac:dyDescent="0.25">
      <c r="A12" s="69"/>
      <c r="B12" s="591" t="s">
        <v>293</v>
      </c>
      <c r="C12" s="591"/>
      <c r="D12" s="591"/>
      <c r="E12" s="591"/>
      <c r="F12" s="591"/>
      <c r="G12" s="591"/>
      <c r="H12" s="591"/>
      <c r="I12" s="591"/>
      <c r="J12" s="591"/>
      <c r="K12" s="130"/>
      <c r="L12" s="122"/>
      <c r="M12" s="122"/>
      <c r="N12" s="122"/>
      <c r="O12" s="78"/>
      <c r="P12" s="78"/>
      <c r="Q12" s="78"/>
      <c r="R12" s="78"/>
      <c r="S12" s="78"/>
      <c r="T12" s="78"/>
      <c r="U12" s="78"/>
      <c r="V12" s="78"/>
      <c r="W12" s="35"/>
      <c r="X12" s="35"/>
      <c r="Y12" s="35"/>
      <c r="AH12" s="11"/>
      <c r="AI12" s="11"/>
      <c r="AJ12" s="11"/>
      <c r="AK12" s="11"/>
      <c r="AL12" s="138"/>
      <c r="AM12" s="138"/>
      <c r="AN12" s="138"/>
      <c r="AO12" s="138"/>
      <c r="AR12" s="69"/>
      <c r="AS12" s="65"/>
      <c r="AT12" s="65"/>
      <c r="AU12" s="65"/>
      <c r="AV12" s="65"/>
      <c r="AW12" s="65"/>
      <c r="AX12" s="65"/>
      <c r="AY12" s="65"/>
      <c r="AZ12" s="65"/>
      <c r="BA12" s="65"/>
    </row>
    <row r="13" spans="1:53" x14ac:dyDescent="0.25">
      <c r="A13" s="69"/>
      <c r="B13" s="587" t="s">
        <v>409</v>
      </c>
      <c r="C13" s="527"/>
      <c r="D13" s="113">
        <f ca="1">IFERROR(INDIRECT(B13 &amp; "!" &amp; "$G$83"),0)</f>
        <v>0</v>
      </c>
      <c r="E13" s="113">
        <f ca="1">IFERROR(INDIRECT(B13 &amp; "!" &amp; "$G$84"),0)</f>
        <v>0</v>
      </c>
      <c r="F13" s="113">
        <f ca="1">IFERROR(INDIRECT(B13 &amp; "!" &amp; "$G$85"),0)</f>
        <v>0</v>
      </c>
      <c r="G13" s="239">
        <v>0</v>
      </c>
      <c r="H13" s="113">
        <f ca="1">IFERROR(INDIRECT(B13 &amp; "!" &amp; "$D$49"),0)</f>
        <v>0.23599999999999999</v>
      </c>
      <c r="I13" s="140">
        <f ca="1">1/(1+H13*D13)</f>
        <v>1</v>
      </c>
      <c r="J13" s="232">
        <f ca="1">+I13*+D13+((1-I13)*G13)</f>
        <v>0</v>
      </c>
      <c r="K13" s="130"/>
      <c r="L13" s="122"/>
      <c r="M13" s="122"/>
      <c r="N13" s="122"/>
      <c r="O13" s="78"/>
      <c r="P13" s="78"/>
      <c r="Q13" s="78"/>
      <c r="R13" s="78"/>
      <c r="S13" s="78"/>
      <c r="T13" s="78"/>
      <c r="U13" s="78"/>
      <c r="V13" s="78"/>
      <c r="W13" s="35"/>
      <c r="X13" s="35"/>
      <c r="Y13" s="35"/>
      <c r="AH13" s="141"/>
      <c r="AI13" s="142"/>
      <c r="AJ13" s="137"/>
      <c r="AK13" s="11"/>
      <c r="AL13" s="138"/>
      <c r="AM13" s="138"/>
      <c r="AN13" s="139"/>
      <c r="AO13" s="139"/>
      <c r="AR13" s="111"/>
    </row>
    <row r="14" spans="1:53" x14ac:dyDescent="0.25">
      <c r="A14" s="69"/>
      <c r="B14" s="587" t="s">
        <v>410</v>
      </c>
      <c r="C14" s="527"/>
      <c r="D14" s="113">
        <f t="shared" ref="D14:D20" ca="1" si="0">IFERROR(INDIRECT(B14 &amp; "!" &amp; "$G$83"),0)</f>
        <v>0</v>
      </c>
      <c r="E14" s="113">
        <f t="shared" ref="E14:E20" ca="1" si="1">IFERROR(INDIRECT(B14 &amp; "!" &amp; "$G$84"),0)</f>
        <v>0</v>
      </c>
      <c r="F14" s="113">
        <f t="shared" ref="F14:F20" ca="1" si="2">IFERROR(INDIRECT(B14 &amp; "!" &amp; "$G$85"),0)</f>
        <v>0</v>
      </c>
      <c r="G14" s="239">
        <v>0</v>
      </c>
      <c r="H14" s="113">
        <f t="shared" ref="H14:H20" ca="1" si="3">IFERROR(INDIRECT(B14 &amp; "!" &amp; "$D$49"),0)</f>
        <v>0</v>
      </c>
      <c r="I14" s="140">
        <f t="shared" ref="I14:I20" ca="1" si="4">1/(1+H14*D14)</f>
        <v>1</v>
      </c>
      <c r="J14" s="232">
        <f t="shared" ref="J14:J20" ca="1" si="5">+I14*+D14+((1-I14)*G14)</f>
        <v>0</v>
      </c>
      <c r="K14" s="130"/>
      <c r="L14" s="122"/>
      <c r="M14" s="122"/>
      <c r="N14" s="122"/>
      <c r="O14" s="78"/>
      <c r="P14" s="78"/>
      <c r="Q14" s="78"/>
      <c r="R14" s="78"/>
      <c r="S14" s="78"/>
      <c r="T14" s="78"/>
      <c r="U14" s="78"/>
      <c r="V14" s="78"/>
      <c r="W14" s="35"/>
      <c r="X14" s="35"/>
      <c r="Y14" s="35"/>
      <c r="AH14" s="142"/>
      <c r="AI14" s="142"/>
      <c r="AJ14" s="11"/>
      <c r="AK14" s="11"/>
      <c r="AL14" s="138"/>
      <c r="AM14" s="138"/>
      <c r="AN14" s="138"/>
      <c r="AO14" s="138"/>
    </row>
    <row r="15" spans="1:53" x14ac:dyDescent="0.25">
      <c r="A15" s="69"/>
      <c r="B15" s="587" t="s">
        <v>411</v>
      </c>
      <c r="C15" s="527"/>
      <c r="D15" s="113">
        <f t="shared" ca="1" si="0"/>
        <v>0</v>
      </c>
      <c r="E15" s="113">
        <f t="shared" ca="1" si="1"/>
        <v>0</v>
      </c>
      <c r="F15" s="113">
        <f t="shared" ca="1" si="2"/>
        <v>0</v>
      </c>
      <c r="G15" s="236">
        <v>0</v>
      </c>
      <c r="H15" s="113">
        <f t="shared" ca="1" si="3"/>
        <v>0</v>
      </c>
      <c r="I15" s="140">
        <f t="shared" ca="1" si="4"/>
        <v>1</v>
      </c>
      <c r="J15" s="232">
        <f t="shared" ca="1" si="5"/>
        <v>0</v>
      </c>
      <c r="K15" s="130"/>
      <c r="L15" s="122"/>
      <c r="M15" s="122"/>
      <c r="N15" s="122"/>
      <c r="O15" s="78"/>
      <c r="P15" s="78"/>
      <c r="Q15" s="78"/>
      <c r="R15" s="78"/>
      <c r="S15" s="78"/>
      <c r="T15" s="78"/>
      <c r="U15" s="78"/>
      <c r="V15" s="78"/>
      <c r="W15" s="35"/>
      <c r="X15" s="35"/>
      <c r="Y15" s="35"/>
      <c r="AH15" s="142"/>
      <c r="AI15" s="142"/>
      <c r="AJ15" s="137"/>
      <c r="AK15" s="65"/>
      <c r="AL15" s="65"/>
      <c r="AM15" s="65"/>
      <c r="AN15" s="65"/>
      <c r="AO15" s="65"/>
    </row>
    <row r="16" spans="1:53" x14ac:dyDescent="0.25">
      <c r="A16" s="69"/>
      <c r="B16" s="587" t="s">
        <v>412</v>
      </c>
      <c r="C16" s="527"/>
      <c r="D16" s="113">
        <f t="shared" ca="1" si="0"/>
        <v>0</v>
      </c>
      <c r="E16" s="113">
        <f t="shared" ca="1" si="1"/>
        <v>0</v>
      </c>
      <c r="F16" s="113">
        <f t="shared" ca="1" si="2"/>
        <v>0</v>
      </c>
      <c r="G16" s="236">
        <v>0</v>
      </c>
      <c r="H16" s="113">
        <f t="shared" ca="1" si="3"/>
        <v>0</v>
      </c>
      <c r="I16" s="140">
        <f t="shared" ca="1" si="4"/>
        <v>1</v>
      </c>
      <c r="J16" s="232">
        <f t="shared" ca="1" si="5"/>
        <v>0</v>
      </c>
      <c r="K16" s="130"/>
      <c r="L16" s="122"/>
      <c r="M16" s="122"/>
      <c r="N16" s="122"/>
      <c r="O16" s="78"/>
      <c r="P16" s="78"/>
      <c r="Q16" s="78"/>
      <c r="R16" s="78"/>
      <c r="S16" s="78"/>
      <c r="T16" s="78"/>
      <c r="U16" s="78"/>
      <c r="V16" s="78"/>
      <c r="W16" s="35"/>
      <c r="X16" s="35"/>
      <c r="Y16" s="35"/>
      <c r="AH16" s="120"/>
      <c r="AI16" s="120"/>
      <c r="AJ16" s="121"/>
      <c r="AK16" s="121"/>
      <c r="AL16" s="121"/>
      <c r="AM16" s="121"/>
      <c r="AN16" s="121"/>
      <c r="AO16" s="121"/>
    </row>
    <row r="17" spans="1:48" x14ac:dyDescent="0.25">
      <c r="A17" s="69"/>
      <c r="B17" s="587" t="s">
        <v>413</v>
      </c>
      <c r="C17" s="527"/>
      <c r="D17" s="113">
        <f t="shared" ca="1" si="0"/>
        <v>0</v>
      </c>
      <c r="E17" s="113">
        <f t="shared" ca="1" si="1"/>
        <v>0</v>
      </c>
      <c r="F17" s="113">
        <f t="shared" ca="1" si="2"/>
        <v>0</v>
      </c>
      <c r="G17" s="236">
        <v>0</v>
      </c>
      <c r="H17" s="113">
        <f t="shared" ca="1" si="3"/>
        <v>0</v>
      </c>
      <c r="I17" s="140">
        <f t="shared" ca="1" si="4"/>
        <v>1</v>
      </c>
      <c r="J17" s="232">
        <f t="shared" ca="1" si="5"/>
        <v>0</v>
      </c>
      <c r="K17" s="130"/>
      <c r="L17" s="69"/>
      <c r="O17" s="78"/>
      <c r="P17" s="78"/>
      <c r="Q17" s="78"/>
      <c r="R17" s="78"/>
      <c r="S17" s="78"/>
      <c r="T17" s="78"/>
      <c r="U17" s="78"/>
      <c r="V17" s="78"/>
      <c r="W17" s="35"/>
      <c r="X17" s="35"/>
      <c r="Y17" s="35"/>
      <c r="AH17" s="121"/>
      <c r="AI17" s="121"/>
      <c r="AJ17" s="121"/>
      <c r="AK17" s="121"/>
      <c r="AL17" s="121"/>
      <c r="AM17" s="121"/>
      <c r="AN17" s="121"/>
      <c r="AO17" s="121"/>
      <c r="AR17" s="69"/>
      <c r="AV17" s="65"/>
    </row>
    <row r="18" spans="1:48" x14ac:dyDescent="0.25">
      <c r="A18" s="69"/>
      <c r="B18" s="587" t="s">
        <v>414</v>
      </c>
      <c r="C18" s="527"/>
      <c r="D18" s="113">
        <f t="shared" ca="1" si="0"/>
        <v>0</v>
      </c>
      <c r="E18" s="113">
        <f t="shared" ca="1" si="1"/>
        <v>0</v>
      </c>
      <c r="F18" s="113">
        <f t="shared" ca="1" si="2"/>
        <v>0</v>
      </c>
      <c r="G18" s="236">
        <v>0</v>
      </c>
      <c r="H18" s="113">
        <f t="shared" ca="1" si="3"/>
        <v>0</v>
      </c>
      <c r="I18" s="140">
        <f t="shared" ca="1" si="4"/>
        <v>1</v>
      </c>
      <c r="J18" s="232">
        <f t="shared" ca="1" si="5"/>
        <v>0</v>
      </c>
      <c r="K18" s="130"/>
      <c r="L18" s="124"/>
      <c r="M18" s="88"/>
      <c r="N18" s="88"/>
      <c r="O18" s="88"/>
      <c r="P18" s="88"/>
      <c r="Q18" s="88"/>
      <c r="R18" s="88"/>
      <c r="S18" s="88"/>
      <c r="T18" s="88"/>
      <c r="U18" s="88"/>
      <c r="V18" s="88"/>
      <c r="W18" s="35"/>
      <c r="X18" s="35"/>
      <c r="Y18" s="35"/>
      <c r="AH18" s="121"/>
      <c r="AI18" s="120"/>
      <c r="AJ18" s="121"/>
      <c r="AK18" s="121"/>
      <c r="AL18" s="121"/>
      <c r="AM18" s="121"/>
      <c r="AN18" s="121"/>
      <c r="AO18" s="121"/>
    </row>
    <row r="19" spans="1:48" x14ac:dyDescent="0.25">
      <c r="A19" s="69"/>
      <c r="B19" s="587" t="s">
        <v>415</v>
      </c>
      <c r="C19" s="527"/>
      <c r="D19" s="113">
        <f t="shared" ca="1" si="0"/>
        <v>0</v>
      </c>
      <c r="E19" s="113">
        <f t="shared" ca="1" si="1"/>
        <v>0</v>
      </c>
      <c r="F19" s="113">
        <f t="shared" ca="1" si="2"/>
        <v>0</v>
      </c>
      <c r="G19" s="236">
        <v>0</v>
      </c>
      <c r="H19" s="113">
        <f t="shared" ca="1" si="3"/>
        <v>0</v>
      </c>
      <c r="I19" s="140">
        <f t="shared" ca="1" si="4"/>
        <v>1</v>
      </c>
      <c r="J19" s="232">
        <f t="shared" ca="1" si="5"/>
        <v>0</v>
      </c>
      <c r="K19" s="143"/>
      <c r="L19" s="11"/>
      <c r="M19" s="11"/>
      <c r="N19" s="11"/>
      <c r="O19" s="11"/>
      <c r="P19" s="11"/>
      <c r="Q19" s="11"/>
      <c r="R19" s="11"/>
      <c r="S19" s="11"/>
      <c r="T19" s="11"/>
      <c r="U19" s="11"/>
      <c r="V19" s="11"/>
      <c r="W19" s="35"/>
      <c r="X19" s="35"/>
      <c r="Y19" s="35"/>
      <c r="AH19" s="121"/>
      <c r="AI19" s="121"/>
      <c r="AJ19" s="121"/>
      <c r="AK19" s="121"/>
      <c r="AL19" s="121"/>
      <c r="AM19" s="121"/>
      <c r="AN19" s="121"/>
      <c r="AO19" s="121"/>
      <c r="AR19" s="69"/>
      <c r="AV19" s="65"/>
    </row>
    <row r="20" spans="1:48" ht="13.8" thickBot="1" x14ac:dyDescent="0.3">
      <c r="A20" s="69"/>
      <c r="B20" s="587" t="s">
        <v>416</v>
      </c>
      <c r="C20" s="527"/>
      <c r="D20" s="113">
        <f t="shared" ca="1" si="0"/>
        <v>0</v>
      </c>
      <c r="E20" s="113">
        <f t="shared" ca="1" si="1"/>
        <v>0</v>
      </c>
      <c r="F20" s="113">
        <f t="shared" ca="1" si="2"/>
        <v>0</v>
      </c>
      <c r="G20" s="236">
        <v>0</v>
      </c>
      <c r="H20" s="113">
        <f t="shared" ca="1" si="3"/>
        <v>0</v>
      </c>
      <c r="I20" s="140">
        <f t="shared" ca="1" si="4"/>
        <v>1</v>
      </c>
      <c r="J20" s="232">
        <f t="shared" ca="1" si="5"/>
        <v>0</v>
      </c>
      <c r="K20" s="143"/>
      <c r="L20" s="11"/>
      <c r="M20" s="11"/>
      <c r="N20" s="11"/>
      <c r="O20" s="11"/>
      <c r="P20" s="11"/>
      <c r="Q20" s="11"/>
      <c r="R20" s="11"/>
      <c r="S20" s="11"/>
      <c r="T20" s="11"/>
      <c r="U20" s="11"/>
      <c r="V20" s="11"/>
      <c r="W20" s="35"/>
      <c r="X20" s="35"/>
      <c r="Y20" s="35"/>
      <c r="AH20" s="121"/>
      <c r="AI20" s="121"/>
      <c r="AJ20" s="121"/>
      <c r="AK20" s="121"/>
      <c r="AL20" s="121"/>
      <c r="AM20" s="121"/>
      <c r="AN20" s="121"/>
      <c r="AO20" s="121"/>
      <c r="AR20" s="69"/>
      <c r="AV20" s="65"/>
    </row>
    <row r="21" spans="1:48" ht="13.8" thickBot="1" x14ac:dyDescent="0.3">
      <c r="B21" s="608" t="s">
        <v>397</v>
      </c>
      <c r="C21" s="609"/>
      <c r="D21" s="207">
        <f ca="1">SUM(D13:D20)</f>
        <v>0</v>
      </c>
      <c r="E21" s="207">
        <f ca="1">SUM(E13:E20)</f>
        <v>0</v>
      </c>
      <c r="F21" s="207">
        <f ca="1">SUM(F13:F20)</f>
        <v>0</v>
      </c>
      <c r="G21" s="240">
        <f>SUM(G13:G20)</f>
        <v>0</v>
      </c>
      <c r="H21" s="207"/>
      <c r="I21" s="211"/>
      <c r="J21" s="233">
        <f ca="1">SUM(J13:J20)</f>
        <v>0</v>
      </c>
      <c r="K21" s="126"/>
      <c r="L21" s="87"/>
      <c r="M21" s="87"/>
      <c r="N21" s="87"/>
      <c r="O21" s="87"/>
      <c r="P21" s="87"/>
      <c r="Q21" s="87"/>
      <c r="R21" s="87"/>
      <c r="S21" s="87"/>
      <c r="T21" s="87"/>
      <c r="U21" s="131"/>
      <c r="V21" s="131"/>
      <c r="W21" s="35"/>
      <c r="X21" s="35"/>
      <c r="Y21" s="35"/>
    </row>
    <row r="22" spans="1:48" x14ac:dyDescent="0.25">
      <c r="B22" s="591" t="s">
        <v>294</v>
      </c>
      <c r="C22" s="591"/>
      <c r="D22" s="591"/>
      <c r="E22" s="591"/>
      <c r="F22" s="591"/>
      <c r="G22" s="591"/>
      <c r="H22" s="591"/>
      <c r="I22" s="591"/>
      <c r="J22" s="591"/>
      <c r="K22" s="125"/>
      <c r="L22" s="87"/>
      <c r="M22" s="87"/>
      <c r="N22" s="87"/>
      <c r="O22" s="87"/>
      <c r="P22" s="87"/>
      <c r="Q22" s="87"/>
      <c r="R22" s="87"/>
      <c r="S22" s="87"/>
      <c r="T22" s="87"/>
      <c r="U22" s="131"/>
      <c r="V22" s="131"/>
      <c r="W22" s="11"/>
      <c r="X22" s="11"/>
      <c r="Y22" s="11"/>
      <c r="Z22" s="11"/>
      <c r="AA22" s="11"/>
      <c r="AB22" s="11"/>
      <c r="AC22" s="11"/>
      <c r="AD22" s="11"/>
      <c r="AE22" s="11"/>
      <c r="AH22" s="97"/>
      <c r="AI22" s="97"/>
      <c r="AJ22" s="97"/>
      <c r="AK22" s="97"/>
      <c r="AL22" s="97"/>
      <c r="AM22" s="11"/>
      <c r="AN22" s="11"/>
      <c r="AO22" s="11"/>
    </row>
    <row r="23" spans="1:48" x14ac:dyDescent="0.25">
      <c r="A23" s="144"/>
      <c r="B23" s="587" t="s">
        <v>417</v>
      </c>
      <c r="C23" s="527"/>
      <c r="D23" s="113">
        <f ca="1">IFERROR(INDIRECT(B23 &amp; "!" &amp; "$I$68"),0)</f>
        <v>0</v>
      </c>
      <c r="E23" s="113">
        <f ca="1">IFERROR(INDIRECT(B23 &amp; "!" &amp; "$I$69"),0)</f>
        <v>0</v>
      </c>
      <c r="F23" s="145">
        <f ca="1">IFERROR(INDIRECT(B23 &amp; "!" &amp; "$I$70"),0)</f>
        <v>0</v>
      </c>
      <c r="G23" s="236">
        <v>0</v>
      </c>
      <c r="H23" s="113">
        <f ca="1">IFERROR(INDIRECT(B23 &amp; "!" &amp; "$E$33"),0)</f>
        <v>0.54</v>
      </c>
      <c r="I23" s="140">
        <f ca="1">1/(1+H23*D23)</f>
        <v>1</v>
      </c>
      <c r="J23" s="232">
        <f ca="1">+I23*+D23+((1-I23)*G23)</f>
        <v>0</v>
      </c>
      <c r="K23" s="99"/>
      <c r="L23" s="131"/>
      <c r="M23" s="131"/>
      <c r="N23" s="131"/>
      <c r="O23" s="97"/>
      <c r="P23" s="11"/>
      <c r="Q23" s="97"/>
      <c r="S23" s="97"/>
      <c r="T23" s="11"/>
      <c r="U23" s="97"/>
      <c r="W23" s="125"/>
      <c r="X23" s="125"/>
      <c r="Y23" s="125"/>
      <c r="Z23" s="125"/>
      <c r="AA23" s="125"/>
      <c r="AB23" s="125"/>
      <c r="AC23" s="125"/>
      <c r="AD23" s="125"/>
      <c r="AE23" s="125"/>
      <c r="AH23" s="97"/>
      <c r="AI23" s="97"/>
      <c r="AJ23" s="97"/>
      <c r="AK23" s="11"/>
      <c r="AL23" s="97"/>
      <c r="AM23" s="11"/>
      <c r="AN23" s="11"/>
      <c r="AO23" s="11"/>
    </row>
    <row r="24" spans="1:48" x14ac:dyDescent="0.25">
      <c r="A24" s="146"/>
      <c r="B24" s="507" t="s">
        <v>418</v>
      </c>
      <c r="C24" s="527"/>
      <c r="D24" s="113">
        <f t="shared" ref="D24:D30" ca="1" si="6">IFERROR(INDIRECT(B24 &amp; "!" &amp; "$I$68"),0)</f>
        <v>0</v>
      </c>
      <c r="E24" s="113">
        <f t="shared" ref="E24:E30" ca="1" si="7">IFERROR(INDIRECT(B24 &amp; "!" &amp; "$I$69"),0)</f>
        <v>0</v>
      </c>
      <c r="F24" s="145">
        <f t="shared" ref="F24:F30" ca="1" si="8">IFERROR(INDIRECT(B24 &amp; "!" &amp; "$I$70"),0)</f>
        <v>0</v>
      </c>
      <c r="G24" s="236">
        <v>0</v>
      </c>
      <c r="H24" s="113">
        <f t="shared" ref="H24:H30" ca="1" si="9">IFERROR(INDIRECT(B24 &amp; "!" &amp; "$E$33"),0)</f>
        <v>0</v>
      </c>
      <c r="I24" s="140">
        <f t="shared" ref="I24:I30" ca="1" si="10">1/(1+H24*D24)</f>
        <v>1</v>
      </c>
      <c r="J24" s="232">
        <f t="shared" ref="J24:J30" ca="1" si="11">+I24*+D24+((1-I24)*G24)</f>
        <v>0</v>
      </c>
      <c r="L24" s="119"/>
      <c r="M24" s="11"/>
      <c r="N24" s="11"/>
      <c r="O24" s="11"/>
      <c r="P24" s="11"/>
      <c r="S24" s="11"/>
      <c r="T24" s="11"/>
      <c r="W24" s="87"/>
      <c r="X24" s="87"/>
      <c r="Y24" s="87"/>
      <c r="Z24" s="87"/>
      <c r="AA24" s="87"/>
      <c r="AB24" s="87"/>
      <c r="AC24" s="87"/>
      <c r="AD24" s="87"/>
      <c r="AE24" s="87"/>
      <c r="AH24" s="97"/>
      <c r="AI24" s="97"/>
      <c r="AJ24" s="11"/>
      <c r="AK24" s="11"/>
      <c r="AL24" s="11"/>
      <c r="AM24" s="11"/>
      <c r="AN24" s="11"/>
      <c r="AO24" s="11"/>
    </row>
    <row r="25" spans="1:48" x14ac:dyDescent="0.25">
      <c r="A25" s="131"/>
      <c r="B25" s="587" t="s">
        <v>419</v>
      </c>
      <c r="C25" s="527"/>
      <c r="D25" s="113">
        <f t="shared" ca="1" si="6"/>
        <v>0</v>
      </c>
      <c r="E25" s="113">
        <f t="shared" ca="1" si="7"/>
        <v>0</v>
      </c>
      <c r="F25" s="145">
        <f t="shared" ca="1" si="8"/>
        <v>0</v>
      </c>
      <c r="G25" s="236">
        <v>0</v>
      </c>
      <c r="H25" s="113">
        <f t="shared" ca="1" si="9"/>
        <v>0</v>
      </c>
      <c r="I25" s="140">
        <f t="shared" ca="1" si="10"/>
        <v>1</v>
      </c>
      <c r="J25" s="232">
        <f t="shared" ca="1" si="11"/>
        <v>0</v>
      </c>
      <c r="L25" s="131"/>
      <c r="W25" s="87"/>
      <c r="X25" s="87"/>
      <c r="Y25" s="87"/>
      <c r="Z25" s="87"/>
      <c r="AA25" s="87"/>
      <c r="AB25" s="87"/>
      <c r="AC25" s="87"/>
      <c r="AD25" s="87"/>
      <c r="AE25" s="87"/>
      <c r="AH25" s="11"/>
      <c r="AI25" s="11"/>
      <c r="AJ25" s="11"/>
      <c r="AK25" s="11"/>
      <c r="AL25" s="134"/>
      <c r="AM25" s="134"/>
      <c r="AN25" s="134"/>
      <c r="AO25" s="134"/>
    </row>
    <row r="26" spans="1:48" x14ac:dyDescent="0.25">
      <c r="A26" s="131"/>
      <c r="B26" s="507" t="s">
        <v>420</v>
      </c>
      <c r="C26" s="527"/>
      <c r="D26" s="113">
        <f t="shared" ca="1" si="6"/>
        <v>0</v>
      </c>
      <c r="E26" s="113">
        <f t="shared" ca="1" si="7"/>
        <v>0</v>
      </c>
      <c r="F26" s="145">
        <f t="shared" ca="1" si="8"/>
        <v>0</v>
      </c>
      <c r="G26" s="236">
        <v>0</v>
      </c>
      <c r="H26" s="113">
        <f t="shared" ca="1" si="9"/>
        <v>0</v>
      </c>
      <c r="I26" s="140">
        <f t="shared" ca="1" si="10"/>
        <v>1</v>
      </c>
      <c r="J26" s="232">
        <f t="shared" ca="1" si="11"/>
        <v>0</v>
      </c>
      <c r="O26" s="133"/>
      <c r="P26" s="133"/>
      <c r="Q26" s="133"/>
      <c r="R26" s="79"/>
      <c r="S26" s="133"/>
      <c r="T26" s="133"/>
      <c r="U26" s="133"/>
      <c r="V26" s="79"/>
      <c r="W26" s="147"/>
      <c r="X26" s="147"/>
      <c r="Y26" s="147"/>
      <c r="Z26" s="147"/>
      <c r="AA26" s="147"/>
      <c r="AB26" s="147"/>
      <c r="AC26" s="147"/>
      <c r="AD26" s="147"/>
      <c r="AE26" s="147"/>
      <c r="AH26" s="11"/>
      <c r="AI26" s="11"/>
      <c r="AJ26" s="11"/>
      <c r="AK26" s="11"/>
      <c r="AL26" s="136"/>
      <c r="AM26" s="136"/>
      <c r="AN26" s="136"/>
      <c r="AO26" s="136"/>
    </row>
    <row r="27" spans="1:48" x14ac:dyDescent="0.25">
      <c r="A27" s="148"/>
      <c r="B27" s="587" t="s">
        <v>421</v>
      </c>
      <c r="C27" s="527"/>
      <c r="D27" s="113">
        <f t="shared" ca="1" si="6"/>
        <v>0</v>
      </c>
      <c r="E27" s="113">
        <f t="shared" ca="1" si="7"/>
        <v>0</v>
      </c>
      <c r="F27" s="145">
        <f t="shared" ca="1" si="8"/>
        <v>0</v>
      </c>
      <c r="G27" s="236">
        <v>0</v>
      </c>
      <c r="H27" s="113">
        <f t="shared" ca="1" si="9"/>
        <v>0</v>
      </c>
      <c r="I27" s="140">
        <f t="shared" ca="1" si="10"/>
        <v>1</v>
      </c>
      <c r="J27" s="232">
        <f t="shared" ca="1" si="11"/>
        <v>0</v>
      </c>
      <c r="K27" s="135"/>
      <c r="O27" s="79"/>
      <c r="P27" s="79"/>
      <c r="Q27" s="79"/>
      <c r="R27" s="79"/>
      <c r="S27" s="79"/>
      <c r="T27" s="79"/>
      <c r="U27" s="79"/>
      <c r="V27" s="79"/>
      <c r="W27" s="149"/>
      <c r="X27" s="149"/>
      <c r="Y27" s="149"/>
      <c r="Z27" s="149"/>
      <c r="AA27" s="149"/>
      <c r="AB27" s="149"/>
      <c r="AC27" s="149"/>
      <c r="AD27" s="149"/>
      <c r="AE27" s="149"/>
      <c r="AH27" s="119"/>
      <c r="AI27" s="11"/>
      <c r="AJ27" s="137"/>
      <c r="AK27" s="11"/>
      <c r="AL27" s="138"/>
      <c r="AM27" s="138"/>
      <c r="AN27" s="139"/>
      <c r="AO27" s="139"/>
    </row>
    <row r="28" spans="1:48" x14ac:dyDescent="0.25">
      <c r="A28" s="148"/>
      <c r="B28" s="507" t="s">
        <v>422</v>
      </c>
      <c r="C28" s="527"/>
      <c r="D28" s="113">
        <f t="shared" ca="1" si="6"/>
        <v>0</v>
      </c>
      <c r="E28" s="113">
        <f t="shared" ca="1" si="7"/>
        <v>0</v>
      </c>
      <c r="F28" s="145">
        <f t="shared" ca="1" si="8"/>
        <v>0</v>
      </c>
      <c r="G28" s="236">
        <v>0</v>
      </c>
      <c r="H28" s="113">
        <f t="shared" ca="1" si="9"/>
        <v>0</v>
      </c>
      <c r="I28" s="140">
        <f t="shared" ca="1" si="10"/>
        <v>1</v>
      </c>
      <c r="J28" s="232">
        <f t="shared" ca="1" si="11"/>
        <v>0</v>
      </c>
      <c r="K28" s="97"/>
      <c r="L28" s="122"/>
      <c r="M28" s="11"/>
      <c r="N28" s="11"/>
      <c r="O28" s="123"/>
      <c r="P28" s="123"/>
      <c r="Q28" s="123"/>
      <c r="R28" s="11"/>
      <c r="S28" s="78"/>
      <c r="T28" s="78"/>
      <c r="U28" s="78"/>
      <c r="V28" s="78"/>
      <c r="W28" s="97"/>
      <c r="X28" s="11"/>
      <c r="Y28" s="11"/>
      <c r="Z28" s="11"/>
      <c r="AA28" s="11"/>
      <c r="AB28" s="11"/>
      <c r="AC28" s="11"/>
      <c r="AD28" s="11"/>
      <c r="AE28" s="11"/>
      <c r="AH28" s="11"/>
      <c r="AI28" s="11"/>
      <c r="AJ28" s="11"/>
      <c r="AK28" s="11"/>
      <c r="AL28" s="138"/>
      <c r="AM28" s="138"/>
      <c r="AN28" s="138"/>
      <c r="AO28" s="138"/>
    </row>
    <row r="29" spans="1:48" x14ac:dyDescent="0.25">
      <c r="A29" s="65"/>
      <c r="B29" s="587" t="s">
        <v>423</v>
      </c>
      <c r="C29" s="527"/>
      <c r="D29" s="113">
        <f t="shared" ca="1" si="6"/>
        <v>0</v>
      </c>
      <c r="E29" s="113">
        <f t="shared" ca="1" si="7"/>
        <v>0</v>
      </c>
      <c r="F29" s="145">
        <f t="shared" ca="1" si="8"/>
        <v>0</v>
      </c>
      <c r="G29" s="236">
        <v>0</v>
      </c>
      <c r="H29" s="113">
        <f t="shared" ca="1" si="9"/>
        <v>0</v>
      </c>
      <c r="I29" s="140">
        <f t="shared" ca="1" si="10"/>
        <v>1</v>
      </c>
      <c r="J29" s="232">
        <f t="shared" ca="1" si="11"/>
        <v>0</v>
      </c>
      <c r="K29" s="97"/>
      <c r="L29" s="122"/>
      <c r="M29" s="11"/>
      <c r="N29" s="11"/>
      <c r="O29" s="123"/>
      <c r="P29" s="123"/>
      <c r="Q29" s="123"/>
      <c r="R29" s="11"/>
      <c r="S29" s="78"/>
      <c r="T29" s="78"/>
      <c r="U29" s="78"/>
      <c r="V29" s="78"/>
      <c r="W29" s="97"/>
      <c r="X29" s="11"/>
      <c r="Y29" s="11"/>
      <c r="Z29" s="11"/>
      <c r="AA29" s="11"/>
      <c r="AB29" s="11"/>
      <c r="AC29" s="11"/>
      <c r="AD29" s="11"/>
      <c r="AE29" s="11"/>
      <c r="AH29" s="11"/>
      <c r="AI29" s="11"/>
      <c r="AJ29" s="11"/>
      <c r="AK29" s="11"/>
      <c r="AL29" s="138"/>
      <c r="AM29" s="138"/>
      <c r="AN29" s="138"/>
      <c r="AO29" s="138"/>
    </row>
    <row r="30" spans="1:48" ht="13.8" thickBot="1" x14ac:dyDescent="0.3">
      <c r="A30" s="69"/>
      <c r="B30" s="507" t="s">
        <v>424</v>
      </c>
      <c r="C30" s="527"/>
      <c r="D30" s="113">
        <f t="shared" ca="1" si="6"/>
        <v>0</v>
      </c>
      <c r="E30" s="113">
        <f t="shared" ca="1" si="7"/>
        <v>0</v>
      </c>
      <c r="F30" s="145">
        <f t="shared" ca="1" si="8"/>
        <v>0</v>
      </c>
      <c r="G30" s="237">
        <v>0</v>
      </c>
      <c r="H30" s="113">
        <f t="shared" ca="1" si="9"/>
        <v>0</v>
      </c>
      <c r="I30" s="140">
        <f t="shared" ca="1" si="10"/>
        <v>1</v>
      </c>
      <c r="J30" s="232">
        <f t="shared" ca="1" si="11"/>
        <v>0</v>
      </c>
      <c r="K30" s="126"/>
      <c r="L30" s="122"/>
      <c r="M30" s="122"/>
      <c r="N30" s="122"/>
      <c r="Q30" s="78"/>
      <c r="R30" s="78"/>
      <c r="S30" s="78"/>
      <c r="T30" s="78"/>
      <c r="U30" s="78"/>
      <c r="V30" s="78"/>
      <c r="W30" s="35"/>
      <c r="X30" s="35"/>
      <c r="Y30" s="35"/>
      <c r="Z30" s="35"/>
      <c r="AA30" s="35"/>
      <c r="AB30" s="35"/>
      <c r="AC30" s="35"/>
      <c r="AD30" s="35"/>
      <c r="AE30" s="35"/>
      <c r="AH30" s="141"/>
      <c r="AI30" s="142"/>
      <c r="AJ30" s="137"/>
      <c r="AK30" s="11"/>
      <c r="AL30" s="138"/>
      <c r="AM30" s="138"/>
      <c r="AN30" s="139"/>
      <c r="AO30" s="139"/>
    </row>
    <row r="31" spans="1:48" ht="13.8" thickBot="1" x14ac:dyDescent="0.3">
      <c r="A31" s="69"/>
      <c r="B31" s="610" t="s">
        <v>398</v>
      </c>
      <c r="C31" s="611"/>
      <c r="D31" s="212">
        <f ca="1">SUM(D23:D30)</f>
        <v>0</v>
      </c>
      <c r="E31" s="213">
        <f ca="1">SUM(E23:E30)</f>
        <v>0</v>
      </c>
      <c r="F31" s="213">
        <f ca="1">SUM(F23:F30)</f>
        <v>0</v>
      </c>
      <c r="G31" s="238">
        <f>SUM(G23:G30)</f>
        <v>0</v>
      </c>
      <c r="H31" s="212"/>
      <c r="I31" s="213"/>
      <c r="J31" s="234">
        <f ca="1">SUM(J23:J30)</f>
        <v>0</v>
      </c>
      <c r="K31" s="126"/>
      <c r="L31" s="122"/>
      <c r="M31" s="122"/>
      <c r="N31" s="122"/>
      <c r="Q31" s="78"/>
      <c r="R31" s="78"/>
      <c r="S31" s="78"/>
      <c r="T31" s="78"/>
      <c r="U31" s="78"/>
      <c r="V31" s="78"/>
      <c r="W31" s="35"/>
      <c r="X31" s="35"/>
      <c r="Y31" s="35"/>
      <c r="Z31" s="35"/>
      <c r="AA31" s="35"/>
      <c r="AB31" s="35"/>
      <c r="AC31" s="35"/>
      <c r="AD31" s="35"/>
      <c r="AE31" s="35"/>
      <c r="AH31" s="141"/>
      <c r="AI31" s="142"/>
      <c r="AJ31" s="137"/>
      <c r="AK31" s="11"/>
      <c r="AL31" s="138"/>
      <c r="AM31" s="138"/>
      <c r="AN31" s="139"/>
      <c r="AO31" s="139"/>
    </row>
    <row r="32" spans="1:48" ht="14.4" thickTop="1" thickBot="1" x14ac:dyDescent="0.3">
      <c r="A32" s="128"/>
      <c r="B32" s="606" t="s">
        <v>295</v>
      </c>
      <c r="C32" s="607"/>
      <c r="D32" s="150">
        <f ca="1">SUM(D13:D20)+SUM(D23:D30)</f>
        <v>0</v>
      </c>
      <c r="E32" s="150">
        <f ca="1">SUM(E13:E20)+SUM(E23:E30)</f>
        <v>0</v>
      </c>
      <c r="F32" s="150">
        <f ca="1">SUM(F13:F20)+SUM(F23:F30)</f>
        <v>0</v>
      </c>
      <c r="G32" s="235">
        <f>SUM(G13:G20)+SUM(G23:G30)</f>
        <v>0</v>
      </c>
      <c r="H32" s="151" t="s">
        <v>29</v>
      </c>
      <c r="I32" s="151" t="s">
        <v>29</v>
      </c>
      <c r="J32" s="235">
        <f ca="1">SUM(J13:J20)+SUM(J23:J30)</f>
        <v>0</v>
      </c>
      <c r="K32" s="126"/>
      <c r="N32" s="35"/>
      <c r="O32" s="35"/>
      <c r="P32" s="35"/>
      <c r="Q32" s="35"/>
      <c r="R32" s="35"/>
      <c r="S32" s="35"/>
      <c r="T32" s="35"/>
      <c r="U32" s="35"/>
      <c r="V32" s="35"/>
      <c r="W32" s="35"/>
      <c r="X32" s="35"/>
      <c r="Y32" s="35"/>
      <c r="Z32" s="35"/>
      <c r="AA32" s="35"/>
      <c r="AB32" s="35"/>
      <c r="AC32" s="35"/>
      <c r="AD32" s="35"/>
      <c r="AE32" s="35"/>
      <c r="AH32" s="142"/>
      <c r="AI32" s="142"/>
      <c r="AJ32" s="11"/>
      <c r="AK32" s="11"/>
      <c r="AL32" s="138"/>
      <c r="AM32" s="138"/>
      <c r="AN32" s="138"/>
      <c r="AO32" s="138"/>
    </row>
    <row r="33" spans="1:49" x14ac:dyDescent="0.25">
      <c r="A33" s="76"/>
      <c r="B33" s="88"/>
      <c r="C33" s="144"/>
      <c r="D33" s="144"/>
      <c r="F33" s="76"/>
      <c r="H33" s="76"/>
      <c r="K33" s="126"/>
      <c r="N33" s="35"/>
      <c r="O33" s="35"/>
      <c r="P33" s="35"/>
      <c r="Q33" s="35"/>
      <c r="R33" s="35"/>
      <c r="S33" s="35"/>
      <c r="T33" s="35"/>
      <c r="U33" s="35"/>
      <c r="V33" s="35"/>
      <c r="W33" s="35"/>
      <c r="X33" s="35"/>
      <c r="Y33" s="35"/>
      <c r="Z33" s="35"/>
      <c r="AA33" s="35"/>
      <c r="AB33" s="35"/>
      <c r="AC33" s="35"/>
      <c r="AD33" s="35"/>
      <c r="AE33" s="35"/>
      <c r="AH33" s="142"/>
      <c r="AI33" s="142"/>
      <c r="AJ33" s="137"/>
      <c r="AK33" s="65"/>
      <c r="AL33" s="65"/>
      <c r="AM33" s="65"/>
      <c r="AN33" s="65"/>
      <c r="AO33" s="65"/>
    </row>
    <row r="34" spans="1:49" x14ac:dyDescent="0.25">
      <c r="A34" s="87"/>
      <c r="B34" s="88"/>
      <c r="C34" s="152"/>
      <c r="D34" s="87"/>
      <c r="E34" s="87"/>
      <c r="F34" s="87"/>
      <c r="G34" s="11"/>
      <c r="H34" s="87"/>
      <c r="K34" s="126"/>
      <c r="N34" s="35"/>
      <c r="O34" s="35"/>
      <c r="P34" s="35"/>
      <c r="Q34" s="35"/>
      <c r="R34" s="35"/>
      <c r="S34" s="35"/>
      <c r="T34" s="35"/>
      <c r="U34" s="35"/>
      <c r="V34" s="35"/>
      <c r="W34" s="35"/>
      <c r="X34" s="35"/>
      <c r="Y34" s="35"/>
      <c r="Z34" s="35"/>
      <c r="AA34" s="35"/>
      <c r="AB34" s="35"/>
      <c r="AC34" s="35"/>
      <c r="AD34" s="35"/>
      <c r="AE34" s="35"/>
      <c r="AH34" s="120"/>
      <c r="AI34" s="120"/>
      <c r="AJ34" s="121"/>
      <c r="AK34" s="121"/>
      <c r="AL34" s="121"/>
      <c r="AM34" s="121"/>
      <c r="AN34" s="121"/>
      <c r="AO34" s="121"/>
    </row>
    <row r="35" spans="1:49" ht="13.8" thickBot="1" x14ac:dyDescent="0.3">
      <c r="B35" s="88"/>
      <c r="C35" s="119"/>
      <c r="D35" s="11"/>
      <c r="E35" s="11"/>
      <c r="K35" s="126"/>
      <c r="N35" s="35"/>
      <c r="O35" s="35"/>
      <c r="P35" s="35"/>
      <c r="Q35" s="35"/>
      <c r="R35" s="35"/>
      <c r="S35" s="35"/>
      <c r="T35" s="35"/>
      <c r="U35" s="35"/>
      <c r="V35" s="35"/>
      <c r="W35" s="35"/>
      <c r="X35" s="35"/>
      <c r="Y35" s="35"/>
      <c r="Z35" s="35"/>
      <c r="AA35" s="35"/>
      <c r="AB35" s="35"/>
      <c r="AC35" s="35"/>
      <c r="AD35" s="35"/>
      <c r="AE35" s="35"/>
      <c r="AH35" s="119"/>
      <c r="AI35" s="121"/>
      <c r="AJ35" s="121"/>
      <c r="AK35" s="121"/>
      <c r="AL35" s="121"/>
      <c r="AM35" s="121"/>
      <c r="AN35" s="121"/>
      <c r="AO35" s="121"/>
    </row>
    <row r="36" spans="1:49" ht="13.8" thickTop="1" x14ac:dyDescent="0.25">
      <c r="B36" s="592" t="s">
        <v>296</v>
      </c>
      <c r="C36" s="593"/>
      <c r="D36" s="593"/>
      <c r="E36" s="593"/>
      <c r="F36" s="593"/>
      <c r="G36" s="593"/>
      <c r="H36" s="593"/>
      <c r="I36" s="593"/>
      <c r="J36" s="593"/>
      <c r="K36" s="126"/>
      <c r="N36" s="35"/>
      <c r="O36" s="35"/>
      <c r="P36" s="35"/>
      <c r="Q36" s="35"/>
      <c r="R36" s="35"/>
      <c r="S36" s="35"/>
      <c r="T36" s="35"/>
      <c r="U36" s="35"/>
      <c r="V36" s="35"/>
      <c r="W36" s="35"/>
      <c r="X36" s="35"/>
      <c r="Y36" s="35"/>
      <c r="Z36" s="35"/>
      <c r="AA36" s="35"/>
      <c r="AB36" s="35"/>
      <c r="AC36" s="35"/>
      <c r="AD36" s="35"/>
      <c r="AE36" s="35"/>
      <c r="AH36" s="120"/>
      <c r="AI36" s="120"/>
      <c r="AJ36" s="121"/>
      <c r="AK36" s="121"/>
      <c r="AL36" s="121"/>
      <c r="AM36" s="121"/>
      <c r="AN36" s="121"/>
      <c r="AO36" s="121"/>
    </row>
    <row r="37" spans="1:49" ht="13.8" thickBot="1" x14ac:dyDescent="0.3">
      <c r="B37" s="594"/>
      <c r="C37" s="594"/>
      <c r="D37" s="594"/>
      <c r="E37" s="594"/>
      <c r="F37" s="594"/>
      <c r="G37" s="594"/>
      <c r="H37" s="594"/>
      <c r="I37" s="594"/>
      <c r="J37" s="594"/>
      <c r="K37" s="126"/>
      <c r="N37" s="35"/>
      <c r="O37" s="35"/>
      <c r="P37" s="35"/>
      <c r="Q37" s="35"/>
      <c r="R37" s="35"/>
      <c r="S37" s="35"/>
      <c r="T37" s="35"/>
      <c r="U37" s="35"/>
      <c r="V37" s="35"/>
      <c r="W37" s="35"/>
      <c r="X37" s="35"/>
      <c r="Y37" s="35"/>
      <c r="Z37" s="35"/>
      <c r="AA37" s="35"/>
      <c r="AB37" s="35"/>
      <c r="AC37" s="35"/>
      <c r="AD37" s="35"/>
      <c r="AE37" s="35"/>
      <c r="AH37" s="121"/>
      <c r="AI37" s="121"/>
      <c r="AJ37" s="121"/>
      <c r="AK37" s="121"/>
      <c r="AL37" s="121"/>
      <c r="AM37" s="121"/>
      <c r="AN37" s="121"/>
      <c r="AO37" s="121"/>
    </row>
    <row r="38" spans="1:49" x14ac:dyDescent="0.25">
      <c r="B38" s="493" t="s">
        <v>32</v>
      </c>
      <c r="C38" s="488"/>
      <c r="D38" s="488"/>
      <c r="E38" s="487" t="s">
        <v>33</v>
      </c>
      <c r="F38" s="488"/>
      <c r="G38" s="488"/>
      <c r="H38" s="487" t="s">
        <v>34</v>
      </c>
      <c r="I38" s="488"/>
      <c r="J38" s="423"/>
      <c r="K38" s="125"/>
      <c r="L38" s="11"/>
      <c r="M38" s="11"/>
      <c r="N38" s="11"/>
      <c r="O38" s="11"/>
      <c r="P38" s="11"/>
      <c r="Q38" s="11"/>
      <c r="R38" s="11"/>
      <c r="S38" s="11"/>
      <c r="T38" s="11"/>
      <c r="U38" s="11"/>
      <c r="V38" s="11"/>
      <c r="W38" s="97"/>
      <c r="X38" s="97"/>
      <c r="Y38" s="97"/>
      <c r="Z38" s="97"/>
      <c r="AA38" s="97"/>
      <c r="AB38" s="97"/>
      <c r="AC38" s="97"/>
      <c r="AD38" s="97"/>
      <c r="AE38" s="97"/>
      <c r="AH38" s="121"/>
      <c r="AI38" s="121"/>
      <c r="AJ38" s="121"/>
      <c r="AK38" s="121"/>
      <c r="AL38" s="121"/>
      <c r="AM38" s="121"/>
      <c r="AN38" s="121"/>
      <c r="AO38" s="121"/>
    </row>
    <row r="39" spans="1:49" ht="14.4" x14ac:dyDescent="0.35">
      <c r="A39" s="69"/>
      <c r="B39" s="612" t="s">
        <v>121</v>
      </c>
      <c r="C39" s="277"/>
      <c r="D39" s="277"/>
      <c r="E39" s="613" t="s">
        <v>297</v>
      </c>
      <c r="F39" s="614"/>
      <c r="G39" s="614"/>
      <c r="H39" s="613" t="s">
        <v>298</v>
      </c>
      <c r="I39" s="614"/>
      <c r="J39" s="615"/>
      <c r="K39" s="126"/>
      <c r="N39" s="35"/>
      <c r="O39" s="35"/>
      <c r="P39" s="35"/>
      <c r="Q39" s="35"/>
      <c r="R39" s="35"/>
      <c r="S39" s="35"/>
      <c r="T39" s="35"/>
      <c r="U39" s="35"/>
      <c r="V39" s="35"/>
      <c r="W39" s="35"/>
      <c r="X39" s="35"/>
      <c r="Y39" s="35"/>
      <c r="Z39" s="35"/>
      <c r="AA39" s="35"/>
      <c r="AB39" s="35"/>
      <c r="AC39" s="35"/>
      <c r="AD39" s="35"/>
      <c r="AE39" s="35"/>
      <c r="AH39" s="121"/>
      <c r="AI39" s="121"/>
      <c r="AJ39" s="121"/>
      <c r="AK39" s="121"/>
      <c r="AL39" s="121"/>
      <c r="AM39" s="121"/>
      <c r="AN39" s="121"/>
      <c r="AO39" s="121"/>
    </row>
    <row r="40" spans="1:49" ht="15.6" x14ac:dyDescent="0.25">
      <c r="A40" s="121"/>
      <c r="B40" s="507" t="s">
        <v>89</v>
      </c>
      <c r="C40" s="616"/>
      <c r="D40" s="616"/>
      <c r="E40" s="618" t="s">
        <v>299</v>
      </c>
      <c r="F40" s="619"/>
      <c r="G40" s="619"/>
      <c r="H40" s="618" t="s">
        <v>300</v>
      </c>
      <c r="I40" s="619"/>
      <c r="J40" s="620"/>
      <c r="K40" s="126"/>
      <c r="N40" s="127"/>
      <c r="O40" s="35"/>
      <c r="P40" s="35"/>
      <c r="Q40" s="35"/>
      <c r="R40" s="35"/>
      <c r="S40" s="35"/>
      <c r="T40" s="35"/>
      <c r="U40" s="35"/>
      <c r="V40" s="35"/>
      <c r="W40" s="127"/>
      <c r="X40" s="35"/>
      <c r="Y40" s="35"/>
      <c r="Z40" s="35"/>
      <c r="AA40" s="35"/>
      <c r="AB40" s="35"/>
      <c r="AC40" s="35"/>
      <c r="AD40" s="35"/>
      <c r="AE40" s="35"/>
      <c r="AH40" s="87"/>
      <c r="AI40" s="79"/>
      <c r="AJ40" s="79"/>
      <c r="AK40" s="79"/>
      <c r="AL40" s="79"/>
      <c r="AM40" s="79"/>
      <c r="AN40" s="131"/>
    </row>
    <row r="41" spans="1:49" x14ac:dyDescent="0.25">
      <c r="A41" s="121"/>
      <c r="B41" s="617"/>
      <c r="C41" s="616"/>
      <c r="D41" s="616"/>
      <c r="E41" s="625">
        <f ca="1">+D32</f>
        <v>0</v>
      </c>
      <c r="F41" s="626"/>
      <c r="G41" s="627"/>
      <c r="H41" s="628">
        <f ca="1">+J32</f>
        <v>0</v>
      </c>
      <c r="I41" s="624"/>
      <c r="J41" s="624"/>
      <c r="K41" s="126"/>
      <c r="N41" s="127"/>
      <c r="O41" s="35"/>
      <c r="P41" s="35"/>
      <c r="Q41" s="35"/>
      <c r="R41" s="35"/>
      <c r="S41" s="35"/>
      <c r="T41" s="35"/>
      <c r="U41" s="35"/>
      <c r="V41" s="35"/>
      <c r="W41" s="127"/>
      <c r="X41" s="35"/>
      <c r="Y41" s="35"/>
      <c r="Z41" s="35"/>
      <c r="AA41" s="35"/>
      <c r="AB41" s="35"/>
      <c r="AC41" s="35"/>
      <c r="AD41" s="35"/>
      <c r="AE41" s="35"/>
      <c r="AH41" s="87"/>
      <c r="AI41" s="79"/>
      <c r="AJ41" s="79"/>
      <c r="AK41" s="79"/>
      <c r="AL41" s="79"/>
      <c r="AM41" s="79"/>
      <c r="AN41" s="131"/>
    </row>
    <row r="42" spans="1:49" ht="15.6" x14ac:dyDescent="0.25">
      <c r="A42" s="124"/>
      <c r="B42" s="507" t="s">
        <v>90</v>
      </c>
      <c r="C42" s="616"/>
      <c r="D42" s="616"/>
      <c r="E42" s="618" t="s">
        <v>302</v>
      </c>
      <c r="F42" s="619"/>
      <c r="G42" s="619"/>
      <c r="H42" s="618" t="s">
        <v>303</v>
      </c>
      <c r="I42" s="619"/>
      <c r="J42" s="620"/>
      <c r="K42" s="126"/>
      <c r="N42" s="127"/>
      <c r="O42" s="35"/>
      <c r="P42" s="35"/>
      <c r="Q42" s="35"/>
      <c r="R42" s="35"/>
      <c r="S42" s="35"/>
      <c r="T42" s="35"/>
      <c r="U42" s="35"/>
      <c r="V42" s="35"/>
      <c r="W42" s="127"/>
      <c r="X42" s="35"/>
      <c r="Y42" s="35"/>
      <c r="Z42" s="35"/>
      <c r="AA42" s="35"/>
      <c r="AB42" s="35"/>
      <c r="AC42" s="35"/>
      <c r="AD42" s="35"/>
      <c r="AE42" s="35"/>
      <c r="AH42" s="87"/>
      <c r="AI42" s="79"/>
      <c r="AJ42" s="79"/>
      <c r="AK42" s="79"/>
      <c r="AL42" s="79"/>
      <c r="AM42" s="79"/>
      <c r="AN42" s="131"/>
    </row>
    <row r="43" spans="1:49" x14ac:dyDescent="0.25">
      <c r="A43" s="77"/>
      <c r="B43" s="617"/>
      <c r="C43" s="616"/>
      <c r="D43" s="616"/>
      <c r="E43" s="621">
        <f ca="1">+E32</f>
        <v>0</v>
      </c>
      <c r="F43" s="622"/>
      <c r="G43" s="623"/>
      <c r="H43" s="366" t="e">
        <f ca="1">+J32*E32/D32</f>
        <v>#DIV/0!</v>
      </c>
      <c r="I43" s="624"/>
      <c r="J43" s="624"/>
      <c r="K43" s="126"/>
      <c r="N43" s="35"/>
      <c r="O43" s="35"/>
      <c r="P43" s="35"/>
      <c r="Q43" s="35"/>
      <c r="R43" s="35"/>
      <c r="S43" s="35"/>
      <c r="T43" s="35"/>
      <c r="U43" s="35"/>
      <c r="V43" s="35"/>
      <c r="W43" s="35"/>
      <c r="X43" s="35"/>
      <c r="Y43" s="35"/>
      <c r="Z43" s="35"/>
      <c r="AA43" s="35"/>
      <c r="AB43" s="35"/>
      <c r="AC43" s="35"/>
      <c r="AD43" s="35"/>
      <c r="AE43" s="35"/>
      <c r="AH43" s="79"/>
      <c r="AI43" s="79"/>
      <c r="AJ43" s="79"/>
      <c r="AK43" s="79"/>
      <c r="AL43" s="79"/>
      <c r="AM43" s="79"/>
      <c r="AN43" s="131"/>
      <c r="AO43" s="153"/>
      <c r="AP43" s="153"/>
      <c r="AQ43" s="153"/>
      <c r="AR43" s="153"/>
      <c r="AS43" s="153"/>
      <c r="AT43" s="153"/>
      <c r="AU43" s="153"/>
      <c r="AV43" s="153"/>
      <c r="AW43" s="153"/>
    </row>
    <row r="44" spans="1:49" ht="15.6" x14ac:dyDescent="0.25">
      <c r="A44" s="79"/>
      <c r="B44" s="629" t="s">
        <v>91</v>
      </c>
      <c r="C44" s="630"/>
      <c r="D44" s="630"/>
      <c r="E44" s="618" t="s">
        <v>305</v>
      </c>
      <c r="F44" s="619"/>
      <c r="G44" s="619"/>
      <c r="H44" s="618" t="s">
        <v>306</v>
      </c>
      <c r="I44" s="619"/>
      <c r="J44" s="620"/>
      <c r="K44" s="126"/>
      <c r="N44" s="35"/>
      <c r="O44" s="35"/>
      <c r="P44" s="35"/>
      <c r="Q44" s="35"/>
      <c r="R44" s="35"/>
      <c r="S44" s="35"/>
      <c r="T44" s="35"/>
      <c r="U44" s="35"/>
      <c r="V44" s="35"/>
      <c r="W44" s="35"/>
      <c r="X44" s="35"/>
      <c r="Y44" s="35"/>
      <c r="Z44" s="35"/>
      <c r="AA44" s="35"/>
      <c r="AB44" s="35"/>
      <c r="AC44" s="35"/>
      <c r="AD44" s="35"/>
      <c r="AE44" s="35"/>
      <c r="AH44" s="128"/>
      <c r="AK44" s="97"/>
      <c r="AO44" s="11"/>
      <c r="AT44" s="11"/>
      <c r="AU44" s="11"/>
      <c r="AV44" s="11"/>
      <c r="AW44" s="11"/>
    </row>
    <row r="45" spans="1:49" ht="13.8" thickBot="1" x14ac:dyDescent="0.3">
      <c r="A45" s="128"/>
      <c r="B45" s="631"/>
      <c r="C45" s="632"/>
      <c r="D45" s="632"/>
      <c r="E45" s="633">
        <f ca="1">+F32</f>
        <v>0</v>
      </c>
      <c r="F45" s="634"/>
      <c r="G45" s="635"/>
      <c r="H45" s="391" t="e">
        <f ca="1">+J32*F32/D32</f>
        <v>#DIV/0!</v>
      </c>
      <c r="I45" s="636"/>
      <c r="J45" s="636"/>
      <c r="K45" s="126"/>
      <c r="N45" s="35"/>
      <c r="O45" s="35"/>
      <c r="P45" s="35"/>
      <c r="Q45" s="35"/>
      <c r="R45" s="35"/>
      <c r="S45" s="35"/>
      <c r="T45" s="35"/>
      <c r="U45" s="35"/>
      <c r="V45" s="35"/>
      <c r="W45" s="35"/>
      <c r="X45" s="35"/>
      <c r="Y45" s="35"/>
      <c r="Z45" s="35"/>
      <c r="AA45" s="35"/>
      <c r="AB45" s="35"/>
      <c r="AC45" s="35"/>
      <c r="AD45" s="35"/>
      <c r="AE45" s="35"/>
      <c r="AH45" s="135"/>
      <c r="AI45" s="88"/>
      <c r="AJ45" s="11"/>
      <c r="AK45" s="99"/>
      <c r="AL45" s="97"/>
      <c r="AM45" s="153"/>
      <c r="AO45" s="97"/>
      <c r="AT45" s="97"/>
      <c r="AU45" s="97"/>
      <c r="AV45" s="97"/>
    </row>
    <row r="46" spans="1:49" x14ac:dyDescent="0.25">
      <c r="A46" s="76"/>
      <c r="C46" s="76"/>
      <c r="D46" s="76"/>
      <c r="E46" s="76"/>
      <c r="F46" s="144"/>
      <c r="G46" s="76"/>
      <c r="H46" s="76"/>
      <c r="I46" s="144"/>
      <c r="K46" s="126"/>
      <c r="N46" s="35"/>
      <c r="O46" s="35"/>
      <c r="P46" s="35"/>
      <c r="Q46" s="35"/>
      <c r="R46" s="35"/>
      <c r="S46" s="35"/>
      <c r="T46" s="35"/>
      <c r="U46" s="35"/>
      <c r="V46" s="35"/>
      <c r="W46" s="35"/>
      <c r="X46" s="35"/>
      <c r="Y46" s="35"/>
      <c r="Z46" s="35"/>
      <c r="AA46" s="35"/>
      <c r="AB46" s="35"/>
      <c r="AC46" s="35"/>
      <c r="AD46" s="35"/>
      <c r="AE46" s="35"/>
      <c r="AH46" s="119"/>
      <c r="AI46" s="11"/>
      <c r="AK46" s="123"/>
      <c r="AL46" s="11"/>
      <c r="AM46" s="123"/>
      <c r="AN46" s="123"/>
      <c r="AT46" s="97"/>
      <c r="AU46" s="97"/>
      <c r="AV46" s="97"/>
    </row>
    <row r="47" spans="1:49" x14ac:dyDescent="0.25">
      <c r="A47" s="87"/>
      <c r="B47" s="87"/>
      <c r="C47" s="87"/>
      <c r="D47" s="87"/>
      <c r="F47" s="87"/>
      <c r="G47" s="87"/>
      <c r="H47" s="87"/>
      <c r="I47" s="87"/>
      <c r="K47" s="126"/>
      <c r="N47" s="35"/>
      <c r="O47" s="35"/>
      <c r="P47" s="35"/>
      <c r="Q47" s="35"/>
      <c r="R47" s="35"/>
      <c r="S47" s="35"/>
      <c r="T47" s="35"/>
      <c r="U47" s="35"/>
      <c r="V47" s="35"/>
      <c r="W47" s="35"/>
      <c r="X47" s="35"/>
      <c r="Y47" s="35"/>
      <c r="Z47" s="35"/>
      <c r="AA47" s="35"/>
      <c r="AB47" s="35"/>
      <c r="AC47" s="35"/>
      <c r="AD47" s="35"/>
      <c r="AE47" s="35"/>
      <c r="AH47" s="119"/>
      <c r="AI47" s="11"/>
      <c r="AK47" s="123"/>
      <c r="AL47" s="11"/>
      <c r="AM47" s="123"/>
      <c r="AN47" s="123"/>
      <c r="AT47" s="97"/>
      <c r="AU47" s="97"/>
      <c r="AV47" s="99"/>
    </row>
    <row r="48" spans="1:49" x14ac:dyDescent="0.25">
      <c r="A48" s="87"/>
      <c r="B48" s="87"/>
      <c r="C48" s="11"/>
      <c r="F48" s="11"/>
      <c r="G48" s="11"/>
      <c r="H48" s="11"/>
      <c r="I48" s="11"/>
      <c r="AH48" s="119"/>
      <c r="AI48" s="11"/>
      <c r="AK48" s="78"/>
      <c r="AL48" s="11"/>
      <c r="AM48" s="123"/>
      <c r="AN48" s="123"/>
      <c r="AT48" s="11"/>
      <c r="AU48" s="119"/>
      <c r="AV48" s="69"/>
    </row>
    <row r="49" spans="1:9" x14ac:dyDescent="0.25">
      <c r="A49" s="11"/>
      <c r="B49" s="11"/>
      <c r="C49" s="11"/>
      <c r="F49" s="11"/>
      <c r="G49" s="11"/>
      <c r="H49" s="11"/>
      <c r="I49" s="11"/>
    </row>
    <row r="50" spans="1:9" x14ac:dyDescent="0.25">
      <c r="A50" s="11"/>
      <c r="B50" s="11"/>
      <c r="C50" s="141"/>
      <c r="D50" s="154"/>
      <c r="E50" s="155"/>
      <c r="F50" s="141"/>
      <c r="G50" s="154"/>
      <c r="H50" s="155"/>
      <c r="I50" s="141"/>
    </row>
    <row r="51" spans="1:9" x14ac:dyDescent="0.25">
      <c r="A51" s="11"/>
      <c r="B51" s="11"/>
      <c r="C51" s="11"/>
      <c r="D51" s="11"/>
      <c r="E51" s="11"/>
      <c r="F51" s="11"/>
      <c r="G51" s="11"/>
      <c r="H51" s="11"/>
      <c r="I51" s="11"/>
    </row>
    <row r="52" spans="1:9" x14ac:dyDescent="0.25">
      <c r="C52" s="78"/>
      <c r="D52" s="78"/>
      <c r="E52" s="78"/>
      <c r="F52" s="78"/>
      <c r="G52" s="78"/>
      <c r="H52" s="78"/>
      <c r="I52" s="78"/>
    </row>
    <row r="53" spans="1:9" x14ac:dyDescent="0.25">
      <c r="A53" s="65"/>
      <c r="B53" s="65"/>
      <c r="C53" s="65"/>
      <c r="D53" s="137"/>
      <c r="E53" s="65"/>
      <c r="F53" s="65"/>
      <c r="G53" s="144"/>
      <c r="I53" s="65"/>
    </row>
    <row r="54" spans="1:9" x14ac:dyDescent="0.25">
      <c r="A54" s="148"/>
      <c r="C54" s="78"/>
      <c r="D54" s="78"/>
      <c r="E54" s="78"/>
      <c r="F54" s="78"/>
      <c r="G54" s="78"/>
      <c r="H54" s="78"/>
      <c r="I54" s="78"/>
    </row>
    <row r="55" spans="1:9" x14ac:dyDescent="0.25">
      <c r="A55" s="148"/>
      <c r="C55" s="78"/>
      <c r="D55" s="78"/>
      <c r="E55" s="78"/>
      <c r="F55" s="78"/>
      <c r="G55" s="78"/>
      <c r="H55" s="78"/>
      <c r="I55" s="78"/>
    </row>
    <row r="56" spans="1:9" x14ac:dyDescent="0.25">
      <c r="A56" s="135"/>
      <c r="C56" s="78"/>
      <c r="D56" s="78"/>
      <c r="E56" s="78"/>
      <c r="F56" s="78"/>
      <c r="G56" s="78"/>
      <c r="H56" s="78"/>
      <c r="I56" s="78"/>
    </row>
    <row r="57" spans="1:9" x14ac:dyDescent="0.25">
      <c r="A57" s="148"/>
      <c r="C57" s="78"/>
      <c r="D57" s="78"/>
      <c r="E57" s="78"/>
      <c r="F57" s="78"/>
      <c r="G57" s="78"/>
      <c r="H57" s="78"/>
      <c r="I57" s="78"/>
    </row>
    <row r="58" spans="1:9" x14ac:dyDescent="0.25">
      <c r="A58" s="148"/>
      <c r="C58" s="78"/>
      <c r="D58" s="78"/>
      <c r="E58" s="78"/>
      <c r="F58" s="78"/>
      <c r="G58" s="78"/>
      <c r="H58" s="78"/>
      <c r="I58" s="78"/>
    </row>
    <row r="59" spans="1:9" x14ac:dyDescent="0.25">
      <c r="A59" s="148"/>
      <c r="C59" s="78"/>
      <c r="D59" s="78"/>
      <c r="E59" s="78"/>
      <c r="F59" s="78"/>
      <c r="G59" s="78"/>
      <c r="H59" s="78"/>
      <c r="I59" s="78"/>
    </row>
    <row r="60" spans="1:9" x14ac:dyDescent="0.25">
      <c r="A60" s="124"/>
      <c r="B60" s="88"/>
      <c r="C60" s="88"/>
      <c r="D60" s="88"/>
      <c r="E60" s="88"/>
      <c r="F60" s="88"/>
      <c r="G60" s="88"/>
      <c r="H60" s="88"/>
      <c r="I60" s="88"/>
    </row>
    <row r="61" spans="1:9" x14ac:dyDescent="0.25">
      <c r="C61" s="78"/>
      <c r="D61" s="78"/>
      <c r="E61" s="78"/>
      <c r="F61" s="78"/>
      <c r="G61" s="11"/>
      <c r="H61" s="78"/>
      <c r="I61" s="78"/>
    </row>
    <row r="62" spans="1:9" x14ac:dyDescent="0.25">
      <c r="A62" s="97"/>
      <c r="B62" s="11"/>
      <c r="C62" s="11"/>
      <c r="D62" s="11"/>
      <c r="E62" s="11"/>
      <c r="F62" s="11"/>
      <c r="G62" s="11"/>
    </row>
    <row r="64" spans="1:9" x14ac:dyDescent="0.25">
      <c r="A64" s="128"/>
      <c r="B64" s="128"/>
      <c r="C64" s="128"/>
      <c r="D64" s="128"/>
      <c r="E64" s="128"/>
      <c r="F64" s="128"/>
      <c r="G64" s="128"/>
      <c r="H64" s="128"/>
      <c r="I64" s="128"/>
    </row>
    <row r="65" spans="1:9" x14ac:dyDescent="0.25">
      <c r="A65" s="76"/>
      <c r="B65" s="76"/>
      <c r="C65" s="76"/>
      <c r="E65" s="144"/>
      <c r="F65" s="11"/>
      <c r="G65" s="11"/>
      <c r="H65" s="11"/>
      <c r="I65" s="144"/>
    </row>
    <row r="66" spans="1:9" x14ac:dyDescent="0.25">
      <c r="A66" s="87"/>
      <c r="B66" s="87"/>
      <c r="C66" s="87"/>
      <c r="D66" s="87"/>
      <c r="E66" s="97"/>
      <c r="F66" s="97"/>
      <c r="G66" s="97"/>
      <c r="H66" s="97"/>
      <c r="I66" s="97"/>
    </row>
    <row r="67" spans="1:9" x14ac:dyDescent="0.25">
      <c r="A67" s="131"/>
      <c r="B67" s="131"/>
      <c r="C67" s="131"/>
      <c r="D67" s="131"/>
      <c r="E67" s="144"/>
      <c r="I67" s="144"/>
    </row>
    <row r="68" spans="1:9" x14ac:dyDescent="0.25">
      <c r="A68" s="88"/>
      <c r="B68" s="88"/>
      <c r="C68" s="88"/>
      <c r="E68" s="78"/>
      <c r="F68" s="11"/>
      <c r="G68" s="11"/>
      <c r="H68" s="11"/>
      <c r="I68" s="35"/>
    </row>
    <row r="69" spans="1:9" x14ac:dyDescent="0.25">
      <c r="A69" s="88"/>
      <c r="B69" s="88"/>
      <c r="C69" s="88"/>
      <c r="E69" s="78"/>
      <c r="F69" s="11"/>
      <c r="G69" s="11"/>
      <c r="H69" s="11"/>
      <c r="I69" s="35"/>
    </row>
    <row r="70" spans="1:9" x14ac:dyDescent="0.25">
      <c r="A70" s="135"/>
      <c r="B70" s="88"/>
      <c r="C70" s="88"/>
      <c r="E70" s="78"/>
      <c r="F70" s="11"/>
      <c r="G70" s="11"/>
      <c r="H70" s="11"/>
      <c r="I70" s="35"/>
    </row>
    <row r="71" spans="1:9" x14ac:dyDescent="0.25">
      <c r="A71" s="88"/>
      <c r="B71" s="88"/>
      <c r="C71" s="88"/>
      <c r="E71" s="78"/>
      <c r="F71" s="11"/>
      <c r="G71" s="11"/>
      <c r="H71" s="11"/>
      <c r="I71" s="35"/>
    </row>
    <row r="72" spans="1:9" x14ac:dyDescent="0.25">
      <c r="A72" s="124"/>
      <c r="B72" s="88"/>
      <c r="C72" s="88"/>
      <c r="D72" s="88"/>
      <c r="E72" s="88"/>
      <c r="F72" s="88"/>
      <c r="G72" s="88"/>
      <c r="H72" s="88"/>
      <c r="I72" s="88"/>
    </row>
    <row r="77" spans="1:9" x14ac:dyDescent="0.25">
      <c r="A77" s="76"/>
      <c r="B77" s="76"/>
      <c r="C77" s="76"/>
      <c r="D77" s="76"/>
      <c r="E77" s="76"/>
      <c r="F77" s="76"/>
      <c r="G77" s="76"/>
      <c r="H77" s="76"/>
      <c r="I77" s="76"/>
    </row>
    <row r="78" spans="1:9" x14ac:dyDescent="0.25">
      <c r="A78" s="86"/>
      <c r="B78" s="86"/>
      <c r="C78" s="86"/>
      <c r="D78" s="87"/>
      <c r="E78" s="87"/>
      <c r="F78" s="87"/>
      <c r="G78" s="87"/>
      <c r="I78" s="87"/>
    </row>
    <row r="79" spans="1:9" x14ac:dyDescent="0.25">
      <c r="A79" s="86"/>
      <c r="B79" s="86"/>
      <c r="C79" s="86"/>
      <c r="D79" s="76"/>
      <c r="G79" s="76"/>
      <c r="H79" s="76"/>
      <c r="I79" s="76"/>
    </row>
    <row r="80" spans="1:9" x14ac:dyDescent="0.25">
      <c r="A80" s="88"/>
      <c r="B80" s="88"/>
      <c r="C80" s="88"/>
      <c r="D80" s="78"/>
      <c r="E80" s="11"/>
      <c r="F80" s="11"/>
      <c r="G80" s="78"/>
      <c r="H80" s="11"/>
      <c r="I80" s="11"/>
    </row>
    <row r="81" spans="1:9" x14ac:dyDescent="0.25">
      <c r="A81" s="88"/>
      <c r="B81" s="88"/>
      <c r="C81" s="88"/>
      <c r="D81" s="78"/>
      <c r="E81" s="11"/>
      <c r="F81" s="11"/>
      <c r="G81" s="78"/>
      <c r="H81" s="11"/>
      <c r="I81" s="11"/>
    </row>
    <row r="82" spans="1:9" x14ac:dyDescent="0.25">
      <c r="A82" s="88"/>
      <c r="B82" s="88"/>
      <c r="C82" s="88"/>
      <c r="D82" s="78"/>
      <c r="E82" s="11"/>
      <c r="F82" s="11"/>
      <c r="G82" s="78"/>
      <c r="H82" s="11"/>
      <c r="I82" s="11"/>
    </row>
  </sheetData>
  <mergeCells count="56">
    <mergeCell ref="B44:D45"/>
    <mergeCell ref="E44:G44"/>
    <mergeCell ref="H44:J44"/>
    <mergeCell ref="E45:G45"/>
    <mergeCell ref="H45:J45"/>
    <mergeCell ref="B40:D41"/>
    <mergeCell ref="E40:G40"/>
    <mergeCell ref="H40:J40"/>
    <mergeCell ref="E41:G41"/>
    <mergeCell ref="H41:J41"/>
    <mergeCell ref="B42:D43"/>
    <mergeCell ref="E42:G42"/>
    <mergeCell ref="H42:J42"/>
    <mergeCell ref="E43:G43"/>
    <mergeCell ref="H43:J43"/>
    <mergeCell ref="B36:J37"/>
    <mergeCell ref="B38:D38"/>
    <mergeCell ref="E38:G38"/>
    <mergeCell ref="H38:J38"/>
    <mergeCell ref="B39:D39"/>
    <mergeCell ref="E39:G39"/>
    <mergeCell ref="H39:J39"/>
    <mergeCell ref="B32:C32"/>
    <mergeCell ref="B19:C19"/>
    <mergeCell ref="B22:J22"/>
    <mergeCell ref="B23:C23"/>
    <mergeCell ref="B24:C24"/>
    <mergeCell ref="B25:C25"/>
    <mergeCell ref="B26:C26"/>
    <mergeCell ref="B28:C28"/>
    <mergeCell ref="B20:C20"/>
    <mergeCell ref="B21:C21"/>
    <mergeCell ref="B31:C31"/>
    <mergeCell ref="B3:J4"/>
    <mergeCell ref="B5:C5"/>
    <mergeCell ref="B6:C11"/>
    <mergeCell ref="D6:F8"/>
    <mergeCell ref="G6:G11"/>
    <mergeCell ref="H6:H11"/>
    <mergeCell ref="I6:I8"/>
    <mergeCell ref="J6:J8"/>
    <mergeCell ref="I9:I11"/>
    <mergeCell ref="J9:J11"/>
    <mergeCell ref="B18:C18"/>
    <mergeCell ref="E9:E11"/>
    <mergeCell ref="F9:F11"/>
    <mergeCell ref="B29:C29"/>
    <mergeCell ref="B30:C30"/>
    <mergeCell ref="D9:D11"/>
    <mergeCell ref="B27:C27"/>
    <mergeCell ref="B17:C17"/>
    <mergeCell ref="B12:J12"/>
    <mergeCell ref="B13:C13"/>
    <mergeCell ref="B14:C14"/>
    <mergeCell ref="B15:C15"/>
    <mergeCell ref="B16:C16"/>
  </mergeCells>
  <dataValidations count="2">
    <dataValidation type="list" allowBlank="1" showInputMessage="1" showErrorMessage="1" sqref="AJ45" xr:uid="{00000000-0002-0000-0300-000000000000}">
      <formula1>Local</formula1>
    </dataValidation>
    <dataValidation type="whole" allowBlank="1" showInputMessage="1" showErrorMessage="1" sqref="I13:I21" xr:uid="{00000000-0002-0000-0300-000001000000}">
      <formula1>0</formula1>
      <formula2>78300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F80"/>
  <sheetViews>
    <sheetView zoomScaleNormal="100" workbookViewId="0"/>
  </sheetViews>
  <sheetFormatPr defaultColWidth="9.109375" defaultRowHeight="13.2" x14ac:dyDescent="0.25"/>
  <cols>
    <col min="1" max="7" width="13.6640625" style="67" customWidth="1"/>
    <col min="8" max="8" width="15.33203125" style="67" customWidth="1"/>
    <col min="9" max="10" width="13.6640625" style="67" customWidth="1"/>
    <col min="11" max="15" width="10.6640625" style="67" customWidth="1"/>
    <col min="16" max="22" width="13.6640625" style="67" customWidth="1"/>
    <col min="23" max="32" width="12.6640625" style="67" customWidth="1"/>
    <col min="33" max="38" width="9.109375" style="67"/>
    <col min="39" max="39" width="11" style="67" customWidth="1"/>
    <col min="40" max="40" width="12.44140625" style="67" customWidth="1"/>
    <col min="41" max="41" width="10.44140625" style="67" customWidth="1"/>
    <col min="42" max="42" width="10.6640625" style="67" customWidth="1"/>
    <col min="43" max="43" width="12.44140625" style="67" customWidth="1"/>
    <col min="44" max="44" width="10.44140625" style="67" customWidth="1"/>
    <col min="45" max="45" width="11.6640625" style="67" customWidth="1"/>
    <col min="46" max="46" width="10.44140625" style="67" customWidth="1"/>
    <col min="47" max="48" width="9.109375" style="67"/>
    <col min="49" max="49" width="10.109375" style="67" customWidth="1"/>
    <col min="50" max="16384" width="9.109375" style="67"/>
  </cols>
  <sheetData>
    <row r="1" spans="1:58" x14ac:dyDescent="0.25">
      <c r="Q1" s="69"/>
      <c r="T1" s="11"/>
      <c r="Z1" s="130"/>
    </row>
    <row r="2" spans="1:58" ht="13.8" thickBot="1" x14ac:dyDescent="0.3">
      <c r="Q2" s="69"/>
      <c r="T2" s="11"/>
      <c r="Z2" s="130"/>
    </row>
    <row r="3" spans="1:58" ht="13.8" thickTop="1" x14ac:dyDescent="0.25">
      <c r="A3" s="128"/>
      <c r="B3" s="592" t="s">
        <v>307</v>
      </c>
      <c r="C3" s="593"/>
      <c r="D3" s="593"/>
      <c r="E3" s="593"/>
      <c r="F3" s="593"/>
      <c r="G3" s="593"/>
      <c r="H3" s="593"/>
      <c r="I3" s="593"/>
      <c r="J3" s="593"/>
      <c r="K3" s="593"/>
      <c r="L3" s="593"/>
      <c r="M3" s="593"/>
      <c r="N3" s="593"/>
      <c r="O3" s="593"/>
      <c r="P3" s="125"/>
      <c r="Q3" s="87"/>
      <c r="R3" s="87"/>
      <c r="S3" s="87"/>
      <c r="T3" s="87"/>
      <c r="U3" s="87"/>
      <c r="V3" s="87"/>
      <c r="W3" s="87"/>
      <c r="X3" s="87"/>
      <c r="Y3" s="87"/>
      <c r="Z3" s="131"/>
      <c r="AA3" s="131"/>
      <c r="AB3" s="97"/>
      <c r="AC3" s="97"/>
      <c r="AD3" s="97"/>
      <c r="AM3" s="97"/>
      <c r="AW3" s="97"/>
      <c r="AX3" s="97"/>
      <c r="AY3" s="97"/>
      <c r="AZ3" s="97"/>
      <c r="BA3" s="97"/>
      <c r="BB3" s="97"/>
      <c r="BC3" s="97"/>
      <c r="BD3" s="97"/>
      <c r="BE3" s="97"/>
      <c r="BF3" s="97"/>
    </row>
    <row r="4" spans="1:58" ht="13.8" thickBot="1" x14ac:dyDescent="0.3">
      <c r="A4" s="97"/>
      <c r="B4" s="594"/>
      <c r="C4" s="594"/>
      <c r="D4" s="594"/>
      <c r="E4" s="594"/>
      <c r="F4" s="594"/>
      <c r="G4" s="594"/>
      <c r="H4" s="594"/>
      <c r="I4" s="594"/>
      <c r="J4" s="594"/>
      <c r="K4" s="594"/>
      <c r="L4" s="594"/>
      <c r="M4" s="594"/>
      <c r="N4" s="594"/>
      <c r="O4" s="594"/>
      <c r="P4" s="11"/>
      <c r="Q4" s="87"/>
      <c r="R4" s="87"/>
      <c r="S4" s="87"/>
      <c r="T4" s="87"/>
      <c r="U4" s="87"/>
      <c r="V4" s="87"/>
      <c r="W4" s="87"/>
      <c r="X4" s="87"/>
      <c r="Y4" s="87"/>
      <c r="Z4" s="131"/>
      <c r="AA4" s="131"/>
      <c r="AB4" s="11"/>
      <c r="AC4" s="11"/>
      <c r="AD4" s="11"/>
      <c r="AW4" s="97"/>
      <c r="AX4" s="97"/>
      <c r="AY4" s="97"/>
      <c r="AZ4" s="97"/>
      <c r="BA4" s="97"/>
      <c r="BB4" s="97"/>
      <c r="BC4" s="97"/>
      <c r="BD4" s="97"/>
      <c r="BE4" s="97"/>
      <c r="BF4" s="97"/>
    </row>
    <row r="5" spans="1:58" x14ac:dyDescent="0.25">
      <c r="B5" s="493" t="s">
        <v>32</v>
      </c>
      <c r="C5" s="543"/>
      <c r="D5" s="84" t="s">
        <v>33</v>
      </c>
      <c r="E5" s="84" t="s">
        <v>34</v>
      </c>
      <c r="F5" s="84" t="s">
        <v>35</v>
      </c>
      <c r="G5" s="84" t="s">
        <v>36</v>
      </c>
      <c r="H5" s="84" t="s">
        <v>37</v>
      </c>
      <c r="I5" s="84" t="s">
        <v>38</v>
      </c>
      <c r="J5" s="84" t="s">
        <v>39</v>
      </c>
      <c r="K5" s="84" t="s">
        <v>40</v>
      </c>
      <c r="L5" s="84" t="s">
        <v>41</v>
      </c>
      <c r="M5" s="84" t="s">
        <v>42</v>
      </c>
      <c r="N5" s="84" t="s">
        <v>43</v>
      </c>
      <c r="O5" s="132" t="s">
        <v>44</v>
      </c>
      <c r="P5" s="99"/>
      <c r="Q5" s="86"/>
      <c r="R5" s="86"/>
      <c r="S5" s="86"/>
      <c r="T5" s="125"/>
      <c r="U5" s="125"/>
      <c r="V5" s="125"/>
      <c r="W5" s="125"/>
      <c r="X5" s="125"/>
      <c r="Y5" s="125"/>
      <c r="AB5" s="125"/>
      <c r="AC5" s="125"/>
      <c r="AD5" s="125"/>
      <c r="AM5" s="97"/>
      <c r="AN5" s="97"/>
      <c r="AO5" s="97"/>
      <c r="AP5" s="11"/>
      <c r="AQ5" s="97"/>
      <c r="AR5" s="11"/>
      <c r="AS5" s="11"/>
      <c r="AT5" s="11"/>
      <c r="AW5" s="97"/>
      <c r="AX5" s="97"/>
      <c r="AY5" s="97"/>
      <c r="AZ5" s="97"/>
      <c r="BA5" s="97"/>
      <c r="BB5" s="97"/>
      <c r="BC5" s="97"/>
      <c r="BD5" s="97"/>
      <c r="BE5" s="97"/>
      <c r="BF5" s="97"/>
    </row>
    <row r="6" spans="1:58" x14ac:dyDescent="0.25">
      <c r="B6" s="637" t="s">
        <v>284</v>
      </c>
      <c r="C6" s="638"/>
      <c r="D6" s="598" t="s">
        <v>122</v>
      </c>
      <c r="E6" s="599"/>
      <c r="F6" s="599"/>
      <c r="G6" s="598" t="s">
        <v>285</v>
      </c>
      <c r="H6" s="601" t="s">
        <v>81</v>
      </c>
      <c r="I6" s="601" t="s">
        <v>308</v>
      </c>
      <c r="J6" s="601" t="s">
        <v>309</v>
      </c>
      <c r="K6" s="601" t="s">
        <v>310</v>
      </c>
      <c r="L6" s="601" t="s">
        <v>311</v>
      </c>
      <c r="M6" s="601" t="s">
        <v>312</v>
      </c>
      <c r="N6" s="601" t="s">
        <v>313</v>
      </c>
      <c r="O6" s="602" t="s">
        <v>314</v>
      </c>
      <c r="Q6" s="131"/>
      <c r="R6" s="131"/>
      <c r="S6" s="131"/>
      <c r="T6" s="125"/>
      <c r="U6" s="125"/>
      <c r="V6" s="125"/>
      <c r="X6" s="97"/>
      <c r="AB6" s="97"/>
      <c r="AC6" s="97"/>
      <c r="AD6" s="97"/>
      <c r="AM6" s="97"/>
      <c r="AN6" s="97"/>
      <c r="AO6" s="11"/>
      <c r="AP6" s="11"/>
      <c r="AQ6" s="11"/>
      <c r="AR6" s="11"/>
      <c r="AS6" s="11"/>
      <c r="AT6" s="11"/>
      <c r="AW6" s="97"/>
      <c r="AX6" s="97"/>
      <c r="AY6" s="97"/>
      <c r="AZ6" s="97"/>
      <c r="BA6" s="97"/>
      <c r="BB6" s="97"/>
      <c r="BC6" s="97"/>
      <c r="BD6" s="97"/>
      <c r="BE6" s="97"/>
      <c r="BF6" s="97"/>
    </row>
    <row r="7" spans="1:58" x14ac:dyDescent="0.25">
      <c r="B7" s="617"/>
      <c r="C7" s="616"/>
      <c r="D7" s="599"/>
      <c r="E7" s="599"/>
      <c r="F7" s="599"/>
      <c r="G7" s="641"/>
      <c r="H7" s="589"/>
      <c r="I7" s="532"/>
      <c r="J7" s="532"/>
      <c r="K7" s="532"/>
      <c r="L7" s="532"/>
      <c r="M7" s="532"/>
      <c r="N7" s="532"/>
      <c r="O7" s="398"/>
      <c r="Q7" s="119"/>
      <c r="R7" s="11"/>
      <c r="S7" s="11"/>
      <c r="T7" s="133"/>
      <c r="U7" s="133"/>
      <c r="V7" s="133"/>
      <c r="W7" s="133"/>
      <c r="X7" s="133"/>
      <c r="Y7" s="133"/>
      <c r="Z7" s="133"/>
      <c r="AA7" s="133"/>
      <c r="AB7" s="11"/>
      <c r="AC7" s="97"/>
      <c r="AD7" s="11"/>
      <c r="AM7" s="11"/>
      <c r="AN7" s="11"/>
      <c r="AO7" s="11"/>
      <c r="AP7" s="11"/>
      <c r="AQ7" s="134"/>
      <c r="AR7" s="134"/>
      <c r="AS7" s="134"/>
      <c r="AT7" s="134"/>
      <c r="AW7" s="69"/>
      <c r="AX7" s="65"/>
      <c r="AY7" s="65"/>
      <c r="AZ7" s="65"/>
      <c r="BA7" s="65"/>
      <c r="BB7" s="65"/>
      <c r="BC7" s="65"/>
      <c r="BD7" s="65"/>
      <c r="BE7" s="65"/>
      <c r="BF7" s="65"/>
    </row>
    <row r="8" spans="1:58" x14ac:dyDescent="0.25">
      <c r="B8" s="617"/>
      <c r="C8" s="616"/>
      <c r="D8" s="483" t="s">
        <v>288</v>
      </c>
      <c r="E8" s="483" t="s">
        <v>315</v>
      </c>
      <c r="F8" s="483" t="s">
        <v>290</v>
      </c>
      <c r="G8" s="641"/>
      <c r="H8" s="589"/>
      <c r="I8" s="483" t="s">
        <v>316</v>
      </c>
      <c r="J8" s="483" t="s">
        <v>317</v>
      </c>
      <c r="K8" s="588" t="s">
        <v>318</v>
      </c>
      <c r="L8" s="588" t="s">
        <v>319</v>
      </c>
      <c r="M8" s="588" t="s">
        <v>320</v>
      </c>
      <c r="N8" s="588" t="s">
        <v>321</v>
      </c>
      <c r="O8" s="604" t="s">
        <v>322</v>
      </c>
      <c r="P8" s="135"/>
      <c r="T8" s="79"/>
      <c r="U8" s="79"/>
      <c r="V8" s="79"/>
      <c r="W8" s="79"/>
      <c r="X8" s="79"/>
      <c r="Y8" s="79"/>
      <c r="Z8" s="79"/>
      <c r="AA8" s="79"/>
      <c r="AB8" s="11"/>
      <c r="AC8" s="11"/>
      <c r="AD8" s="11"/>
      <c r="AM8" s="11"/>
      <c r="AN8" s="11"/>
      <c r="AO8" s="11"/>
      <c r="AP8" s="11"/>
      <c r="AQ8" s="136"/>
      <c r="AR8" s="136"/>
      <c r="AS8" s="136"/>
      <c r="AT8" s="136"/>
      <c r="AW8" s="69"/>
      <c r="AX8" s="65"/>
      <c r="AY8" s="65"/>
      <c r="AZ8" s="65"/>
      <c r="BA8" s="65"/>
      <c r="BB8" s="65"/>
      <c r="BC8" s="65"/>
      <c r="BD8" s="65"/>
      <c r="BE8" s="65"/>
      <c r="BF8" s="65"/>
    </row>
    <row r="9" spans="1:58" ht="13.8" thickBot="1" x14ac:dyDescent="0.3">
      <c r="A9" s="97"/>
      <c r="B9" s="639"/>
      <c r="C9" s="640"/>
      <c r="D9" s="644"/>
      <c r="E9" s="644"/>
      <c r="F9" s="644"/>
      <c r="G9" s="642"/>
      <c r="H9" s="643"/>
      <c r="I9" s="645"/>
      <c r="J9" s="645"/>
      <c r="K9" s="643"/>
      <c r="L9" s="643"/>
      <c r="M9" s="643"/>
      <c r="N9" s="643"/>
      <c r="O9" s="605"/>
      <c r="P9" s="99"/>
      <c r="Q9" s="122"/>
      <c r="R9" s="122"/>
      <c r="S9" s="122"/>
      <c r="T9" s="123"/>
      <c r="U9" s="123"/>
      <c r="V9" s="123"/>
      <c r="W9" s="78"/>
      <c r="X9" s="78"/>
      <c r="Y9" s="78"/>
      <c r="Z9" s="78"/>
      <c r="AA9" s="78"/>
      <c r="AM9" s="119"/>
      <c r="AN9" s="11"/>
      <c r="AO9" s="137"/>
      <c r="AP9" s="11"/>
      <c r="AQ9" s="138"/>
      <c r="AR9" s="138"/>
      <c r="AS9" s="139"/>
      <c r="AT9" s="139"/>
      <c r="AW9" s="69"/>
      <c r="AX9" s="65"/>
      <c r="AY9" s="65"/>
      <c r="AZ9" s="65"/>
      <c r="BA9" s="65"/>
      <c r="BB9" s="65"/>
      <c r="BC9" s="65"/>
      <c r="BD9" s="65"/>
      <c r="BE9" s="65"/>
      <c r="BF9" s="65"/>
    </row>
    <row r="10" spans="1:58" x14ac:dyDescent="0.25">
      <c r="A10" s="69"/>
      <c r="B10" s="591" t="s">
        <v>293</v>
      </c>
      <c r="C10" s="591"/>
      <c r="D10" s="591"/>
      <c r="E10" s="591"/>
      <c r="F10" s="591"/>
      <c r="G10" s="591"/>
      <c r="H10" s="591"/>
      <c r="I10" s="591"/>
      <c r="J10" s="591"/>
      <c r="K10" s="591"/>
      <c r="L10" s="591"/>
      <c r="M10" s="591"/>
      <c r="N10" s="591"/>
      <c r="O10" s="591"/>
      <c r="P10" s="130"/>
      <c r="Q10" s="122"/>
      <c r="R10" s="122"/>
      <c r="S10" s="122"/>
      <c r="T10" s="78"/>
      <c r="U10" s="78"/>
      <c r="V10" s="78"/>
      <c r="W10" s="78"/>
      <c r="X10" s="78"/>
      <c r="Y10" s="78"/>
      <c r="Z10" s="78"/>
      <c r="AA10" s="78"/>
      <c r="AB10" s="35"/>
      <c r="AC10" s="35"/>
      <c r="AD10" s="35"/>
      <c r="AM10" s="11"/>
      <c r="AN10" s="11"/>
      <c r="AO10" s="11"/>
      <c r="AP10" s="11"/>
      <c r="AQ10" s="138"/>
      <c r="AR10" s="138"/>
      <c r="AS10" s="138"/>
      <c r="AT10" s="138"/>
      <c r="AW10" s="69"/>
      <c r="AX10" s="65"/>
      <c r="AY10" s="65"/>
      <c r="AZ10" s="65"/>
      <c r="BA10" s="65"/>
      <c r="BB10" s="65"/>
      <c r="BC10" s="65"/>
      <c r="BD10" s="65"/>
      <c r="BE10" s="65"/>
      <c r="BF10" s="65"/>
    </row>
    <row r="11" spans="1:58" x14ac:dyDescent="0.25">
      <c r="A11" s="69"/>
      <c r="B11" s="587" t="s">
        <v>409</v>
      </c>
      <c r="C11" s="527"/>
      <c r="D11" s="113">
        <f ca="1">IFERROR(INDIRECT(B11 &amp; "!" &amp; "$G$83"),0)</f>
        <v>0</v>
      </c>
      <c r="E11" s="113">
        <f ca="1">IFERROR(INDIRECT(B11 &amp; "!" &amp; "$G$84"),0)</f>
        <v>0</v>
      </c>
      <c r="F11" s="113">
        <f ca="1">IFERROR(INDIRECT(B11 &amp; "!" &amp; "$G$85"),0)</f>
        <v>0</v>
      </c>
      <c r="G11" s="129" t="s">
        <v>29</v>
      </c>
      <c r="H11" s="113">
        <f ca="1">IFERROR(INDIRECT(B11 &amp; "!" &amp; "$D$49"),0)</f>
        <v>0.23599999999999999</v>
      </c>
      <c r="I11" s="140">
        <f ca="1">+H11*D11*D11</f>
        <v>0</v>
      </c>
      <c r="J11" s="140">
        <f ca="1">SQRT(H11*D11)</f>
        <v>0</v>
      </c>
      <c r="K11" s="129" t="s">
        <v>29</v>
      </c>
      <c r="L11" s="129" t="s">
        <v>29</v>
      </c>
      <c r="M11" s="129" t="s">
        <v>29</v>
      </c>
      <c r="N11" s="129" t="s">
        <v>29</v>
      </c>
      <c r="O11" s="157" t="s">
        <v>29</v>
      </c>
      <c r="P11" s="130"/>
      <c r="Q11" s="122"/>
      <c r="R11" s="122"/>
      <c r="S11" s="122"/>
      <c r="T11" s="78"/>
      <c r="U11" s="78"/>
      <c r="V11" s="78"/>
      <c r="W11" s="78"/>
      <c r="X11" s="78"/>
      <c r="Y11" s="78"/>
      <c r="Z11" s="78"/>
      <c r="AA11" s="78"/>
      <c r="AB11" s="35"/>
      <c r="AC11" s="35"/>
      <c r="AD11" s="35"/>
      <c r="AM11" s="141"/>
      <c r="AN11" s="142"/>
      <c r="AO11" s="137"/>
      <c r="AP11" s="11"/>
      <c r="AQ11" s="138"/>
      <c r="AR11" s="138"/>
      <c r="AS11" s="139"/>
      <c r="AT11" s="139"/>
      <c r="AW11" s="111"/>
    </row>
    <row r="12" spans="1:58" x14ac:dyDescent="0.25">
      <c r="A12" s="69"/>
      <c r="B12" s="587" t="s">
        <v>410</v>
      </c>
      <c r="C12" s="527"/>
      <c r="D12" s="113">
        <f ca="1">IFERROR(INDIRECT(B12 &amp; "!" &amp; "$G$83"),0)</f>
        <v>0</v>
      </c>
      <c r="E12" s="113">
        <f t="shared" ref="E12:E18" ca="1" si="0">IFERROR(INDIRECT(B12 &amp; "!" &amp; "$G$84"),0)</f>
        <v>0</v>
      </c>
      <c r="F12" s="113">
        <f t="shared" ref="F12:F18" ca="1" si="1">IFERROR(INDIRECT(B12 &amp; "!" &amp; "$G$85"),0)</f>
        <v>0</v>
      </c>
      <c r="G12" s="129" t="s">
        <v>29</v>
      </c>
      <c r="H12" s="113">
        <f t="shared" ref="H12:H18" ca="1" si="2">IFERROR(INDIRECT(B12 &amp; "!" &amp; "$D$49"),0)</f>
        <v>0</v>
      </c>
      <c r="I12" s="140">
        <f ca="1">+H12*D12*D12</f>
        <v>0</v>
      </c>
      <c r="J12" s="140">
        <f ca="1">SQRT(H12*D12)</f>
        <v>0</v>
      </c>
      <c r="K12" s="129" t="s">
        <v>29</v>
      </c>
      <c r="L12" s="129" t="s">
        <v>29</v>
      </c>
      <c r="M12" s="129" t="s">
        <v>29</v>
      </c>
      <c r="N12" s="129" t="s">
        <v>29</v>
      </c>
      <c r="O12" s="157" t="s">
        <v>29</v>
      </c>
      <c r="P12" s="130"/>
      <c r="Q12" s="122"/>
      <c r="R12" s="122"/>
      <c r="S12" s="122"/>
      <c r="T12" s="78"/>
      <c r="U12" s="78"/>
      <c r="V12" s="78"/>
      <c r="W12" s="78"/>
      <c r="X12" s="78"/>
      <c r="Y12" s="78"/>
      <c r="Z12" s="78"/>
      <c r="AA12" s="78"/>
      <c r="AB12" s="35"/>
      <c r="AC12" s="35"/>
      <c r="AD12" s="35"/>
      <c r="AM12" s="142"/>
      <c r="AN12" s="142"/>
      <c r="AO12" s="11"/>
      <c r="AP12" s="11"/>
      <c r="AQ12" s="138"/>
      <c r="AR12" s="138"/>
      <c r="AS12" s="138"/>
      <c r="AT12" s="138"/>
    </row>
    <row r="13" spans="1:58" x14ac:dyDescent="0.25">
      <c r="A13" s="69"/>
      <c r="B13" s="587" t="s">
        <v>411</v>
      </c>
      <c r="C13" s="527"/>
      <c r="D13" s="113">
        <f t="shared" ref="D13:D18" ca="1" si="3">IFERROR(INDIRECT(B13 &amp; "!" &amp; "$G$83"),0)</f>
        <v>0</v>
      </c>
      <c r="E13" s="113">
        <f t="shared" ca="1" si="0"/>
        <v>0</v>
      </c>
      <c r="F13" s="113">
        <f t="shared" ca="1" si="1"/>
        <v>0</v>
      </c>
      <c r="G13" s="129" t="s">
        <v>29</v>
      </c>
      <c r="H13" s="113">
        <f t="shared" ca="1" si="2"/>
        <v>0</v>
      </c>
      <c r="I13" s="140">
        <f t="shared" ref="I13:I18" ca="1" si="4">+H13*D13*D13</f>
        <v>0</v>
      </c>
      <c r="J13" s="113">
        <f t="shared" ref="J13:J18" ca="1" si="5">SQRT(H13*D13)</f>
        <v>0</v>
      </c>
      <c r="K13" s="129" t="s">
        <v>29</v>
      </c>
      <c r="L13" s="129" t="s">
        <v>29</v>
      </c>
      <c r="M13" s="129" t="s">
        <v>29</v>
      </c>
      <c r="N13" s="129" t="s">
        <v>29</v>
      </c>
      <c r="O13" s="157" t="s">
        <v>29</v>
      </c>
      <c r="P13" s="130"/>
      <c r="Q13" s="122"/>
      <c r="R13" s="122"/>
      <c r="S13" s="122"/>
      <c r="T13" s="78"/>
      <c r="U13" s="78"/>
      <c r="V13" s="78"/>
      <c r="W13" s="78"/>
      <c r="X13" s="78"/>
      <c r="Y13" s="78"/>
      <c r="Z13" s="78"/>
      <c r="AA13" s="78"/>
      <c r="AB13" s="35"/>
      <c r="AC13" s="35"/>
      <c r="AD13" s="35"/>
      <c r="AM13" s="142"/>
      <c r="AN13" s="142"/>
      <c r="AO13" s="137"/>
      <c r="AP13" s="65"/>
      <c r="AQ13" s="65"/>
      <c r="AR13" s="65"/>
      <c r="AS13" s="65"/>
      <c r="AT13" s="65"/>
    </row>
    <row r="14" spans="1:58" x14ac:dyDescent="0.25">
      <c r="A14" s="69"/>
      <c r="B14" s="587" t="s">
        <v>412</v>
      </c>
      <c r="C14" s="527"/>
      <c r="D14" s="113">
        <f t="shared" ca="1" si="3"/>
        <v>0</v>
      </c>
      <c r="E14" s="113">
        <f t="shared" ca="1" si="0"/>
        <v>0</v>
      </c>
      <c r="F14" s="113">
        <f t="shared" ca="1" si="1"/>
        <v>0</v>
      </c>
      <c r="G14" s="129" t="s">
        <v>29</v>
      </c>
      <c r="H14" s="113">
        <f t="shared" ca="1" si="2"/>
        <v>0</v>
      </c>
      <c r="I14" s="140">
        <f t="shared" ca="1" si="4"/>
        <v>0</v>
      </c>
      <c r="J14" s="113">
        <f t="shared" ca="1" si="5"/>
        <v>0</v>
      </c>
      <c r="K14" s="129" t="s">
        <v>29</v>
      </c>
      <c r="L14" s="129" t="s">
        <v>29</v>
      </c>
      <c r="M14" s="129" t="s">
        <v>29</v>
      </c>
      <c r="N14" s="129" t="s">
        <v>29</v>
      </c>
      <c r="O14" s="157" t="s">
        <v>29</v>
      </c>
      <c r="P14" s="130"/>
      <c r="Q14" s="122"/>
      <c r="R14" s="122"/>
      <c r="S14" s="122"/>
      <c r="T14" s="78"/>
      <c r="U14" s="78"/>
      <c r="V14" s="78"/>
      <c r="W14" s="78"/>
      <c r="X14" s="78"/>
      <c r="Y14" s="78"/>
      <c r="Z14" s="78"/>
      <c r="AA14" s="78"/>
      <c r="AB14" s="35"/>
      <c r="AC14" s="35"/>
      <c r="AD14" s="35"/>
      <c r="AM14" s="120"/>
      <c r="AN14" s="120"/>
      <c r="AO14" s="121"/>
      <c r="AP14" s="121"/>
      <c r="AQ14" s="121"/>
      <c r="AR14" s="121"/>
      <c r="AS14" s="121"/>
      <c r="AT14" s="121"/>
    </row>
    <row r="15" spans="1:58" x14ac:dyDescent="0.25">
      <c r="A15" s="69"/>
      <c r="B15" s="587" t="s">
        <v>413</v>
      </c>
      <c r="C15" s="527"/>
      <c r="D15" s="113">
        <f t="shared" ca="1" si="3"/>
        <v>0</v>
      </c>
      <c r="E15" s="113">
        <f t="shared" ca="1" si="0"/>
        <v>0</v>
      </c>
      <c r="F15" s="113">
        <f t="shared" ca="1" si="1"/>
        <v>0</v>
      </c>
      <c r="G15" s="129" t="s">
        <v>29</v>
      </c>
      <c r="H15" s="113">
        <f t="shared" ca="1" si="2"/>
        <v>0</v>
      </c>
      <c r="I15" s="140">
        <f t="shared" ca="1" si="4"/>
        <v>0</v>
      </c>
      <c r="J15" s="113">
        <f t="shared" ca="1" si="5"/>
        <v>0</v>
      </c>
      <c r="K15" s="129" t="s">
        <v>29</v>
      </c>
      <c r="L15" s="129" t="s">
        <v>29</v>
      </c>
      <c r="M15" s="129" t="s">
        <v>29</v>
      </c>
      <c r="N15" s="129" t="s">
        <v>29</v>
      </c>
      <c r="O15" s="157" t="s">
        <v>29</v>
      </c>
      <c r="P15" s="130"/>
      <c r="Q15" s="69"/>
      <c r="T15" s="78"/>
      <c r="U15" s="78"/>
      <c r="V15" s="78"/>
      <c r="W15" s="78"/>
      <c r="X15" s="78"/>
      <c r="Y15" s="78"/>
      <c r="Z15" s="78"/>
      <c r="AA15" s="78"/>
      <c r="AB15" s="35"/>
      <c r="AC15" s="35"/>
      <c r="AD15" s="35"/>
      <c r="AM15" s="121"/>
      <c r="AN15" s="121"/>
      <c r="AO15" s="121"/>
      <c r="AP15" s="121"/>
      <c r="AQ15" s="121"/>
      <c r="AR15" s="121"/>
      <c r="AS15" s="121"/>
      <c r="AT15" s="121"/>
      <c r="AW15" s="69"/>
      <c r="BA15" s="65"/>
    </row>
    <row r="16" spans="1:58" x14ac:dyDescent="0.25">
      <c r="A16" s="69"/>
      <c r="B16" s="587" t="s">
        <v>414</v>
      </c>
      <c r="C16" s="527"/>
      <c r="D16" s="113">
        <f t="shared" ca="1" si="3"/>
        <v>0</v>
      </c>
      <c r="E16" s="113">
        <f t="shared" ca="1" si="0"/>
        <v>0</v>
      </c>
      <c r="F16" s="113">
        <f t="shared" ca="1" si="1"/>
        <v>0</v>
      </c>
      <c r="G16" s="129" t="s">
        <v>29</v>
      </c>
      <c r="H16" s="113">
        <f t="shared" ca="1" si="2"/>
        <v>0</v>
      </c>
      <c r="I16" s="140">
        <f t="shared" ca="1" si="4"/>
        <v>0</v>
      </c>
      <c r="J16" s="113">
        <f t="shared" ca="1" si="5"/>
        <v>0</v>
      </c>
      <c r="K16" s="129" t="s">
        <v>29</v>
      </c>
      <c r="L16" s="129" t="s">
        <v>29</v>
      </c>
      <c r="M16" s="129" t="s">
        <v>29</v>
      </c>
      <c r="N16" s="129" t="s">
        <v>29</v>
      </c>
      <c r="O16" s="157" t="s">
        <v>29</v>
      </c>
      <c r="P16" s="130"/>
      <c r="Q16" s="124"/>
      <c r="R16" s="88"/>
      <c r="S16" s="88"/>
      <c r="T16" s="88"/>
      <c r="U16" s="88"/>
      <c r="V16" s="88"/>
      <c r="W16" s="88"/>
      <c r="X16" s="88"/>
      <c r="Y16" s="88"/>
      <c r="Z16" s="88"/>
      <c r="AA16" s="88"/>
      <c r="AB16" s="35"/>
      <c r="AC16" s="35"/>
      <c r="AD16" s="35"/>
      <c r="AM16" s="121"/>
      <c r="AN16" s="120"/>
      <c r="AO16" s="121"/>
      <c r="AP16" s="121"/>
      <c r="AQ16" s="121"/>
      <c r="AR16" s="121"/>
      <c r="AS16" s="121"/>
      <c r="AT16" s="121"/>
    </row>
    <row r="17" spans="1:53" x14ac:dyDescent="0.25">
      <c r="A17" s="69"/>
      <c r="B17" s="587" t="s">
        <v>415</v>
      </c>
      <c r="C17" s="527"/>
      <c r="D17" s="113">
        <f t="shared" ca="1" si="3"/>
        <v>0</v>
      </c>
      <c r="E17" s="113">
        <f t="shared" ca="1" si="0"/>
        <v>0</v>
      </c>
      <c r="F17" s="113">
        <f t="shared" ca="1" si="1"/>
        <v>0</v>
      </c>
      <c r="G17" s="129" t="s">
        <v>29</v>
      </c>
      <c r="H17" s="113">
        <f t="shared" ca="1" si="2"/>
        <v>0</v>
      </c>
      <c r="I17" s="140">
        <f t="shared" ca="1" si="4"/>
        <v>0</v>
      </c>
      <c r="J17" s="113">
        <f t="shared" ca="1" si="5"/>
        <v>0</v>
      </c>
      <c r="K17" s="129"/>
      <c r="L17" s="129"/>
      <c r="M17" s="129"/>
      <c r="N17" s="129"/>
      <c r="O17" s="157"/>
      <c r="P17" s="130"/>
      <c r="Q17" s="124"/>
      <c r="R17" s="88"/>
      <c r="S17" s="88"/>
      <c r="T17" s="88"/>
      <c r="U17" s="88"/>
      <c r="V17" s="88"/>
      <c r="W17" s="88"/>
      <c r="X17" s="88"/>
      <c r="Y17" s="88"/>
      <c r="Z17" s="88"/>
      <c r="AA17" s="88"/>
      <c r="AB17" s="35"/>
      <c r="AC17" s="35"/>
      <c r="AD17" s="35"/>
      <c r="AM17" s="121"/>
      <c r="AN17" s="120"/>
      <c r="AO17" s="121"/>
      <c r="AP17" s="121"/>
      <c r="AQ17" s="121"/>
      <c r="AR17" s="121"/>
      <c r="AS17" s="121"/>
      <c r="AT17" s="121"/>
    </row>
    <row r="18" spans="1:53" ht="13.8" thickBot="1" x14ac:dyDescent="0.3">
      <c r="A18" s="69"/>
      <c r="B18" s="587" t="s">
        <v>416</v>
      </c>
      <c r="C18" s="527"/>
      <c r="D18" s="113">
        <f t="shared" ca="1" si="3"/>
        <v>0</v>
      </c>
      <c r="E18" s="113">
        <f t="shared" ca="1" si="0"/>
        <v>0</v>
      </c>
      <c r="F18" s="113">
        <f t="shared" ca="1" si="1"/>
        <v>0</v>
      </c>
      <c r="G18" s="129" t="s">
        <v>29</v>
      </c>
      <c r="H18" s="113">
        <f t="shared" ca="1" si="2"/>
        <v>0</v>
      </c>
      <c r="I18" s="140">
        <f t="shared" ca="1" si="4"/>
        <v>0</v>
      </c>
      <c r="J18" s="113">
        <f t="shared" ca="1" si="5"/>
        <v>0</v>
      </c>
      <c r="K18" s="129" t="s">
        <v>29</v>
      </c>
      <c r="L18" s="129" t="s">
        <v>29</v>
      </c>
      <c r="M18" s="129" t="s">
        <v>29</v>
      </c>
      <c r="N18" s="129" t="s">
        <v>29</v>
      </c>
      <c r="O18" s="157" t="s">
        <v>29</v>
      </c>
      <c r="P18" s="143"/>
      <c r="Q18" s="11"/>
      <c r="R18" s="11"/>
      <c r="S18" s="11"/>
      <c r="T18" s="11"/>
      <c r="U18" s="11"/>
      <c r="V18" s="11"/>
      <c r="W18" s="11"/>
      <c r="X18" s="11"/>
      <c r="Y18" s="11"/>
      <c r="Z18" s="11"/>
      <c r="AA18" s="11"/>
      <c r="AB18" s="35"/>
      <c r="AC18" s="35"/>
      <c r="AD18" s="35"/>
      <c r="AM18" s="121"/>
      <c r="AN18" s="121"/>
      <c r="AO18" s="121"/>
      <c r="AP18" s="121"/>
      <c r="AQ18" s="121"/>
      <c r="AR18" s="121"/>
      <c r="AS18" s="121"/>
      <c r="AT18" s="121"/>
      <c r="AW18" s="69"/>
      <c r="BA18" s="65"/>
    </row>
    <row r="19" spans="1:53" ht="13.8" thickBot="1" x14ac:dyDescent="0.3">
      <c r="B19" s="654" t="s">
        <v>397</v>
      </c>
      <c r="C19" s="655"/>
      <c r="D19" s="215">
        <f ca="1">SUM(D11:D18)</f>
        <v>0</v>
      </c>
      <c r="E19" s="207">
        <f ca="1">SUM(E11:E18)</f>
        <v>0</v>
      </c>
      <c r="F19" s="207">
        <f ca="1">SUM(F11:F18)</f>
        <v>0</v>
      </c>
      <c r="G19" s="208"/>
      <c r="H19" s="207"/>
      <c r="I19" s="214"/>
      <c r="J19" s="209"/>
      <c r="K19" s="208"/>
      <c r="L19" s="208"/>
      <c r="M19" s="208"/>
      <c r="N19" s="208"/>
      <c r="O19" s="210"/>
      <c r="P19" s="126"/>
      <c r="Q19" s="87"/>
      <c r="R19" s="87"/>
      <c r="S19" s="87"/>
      <c r="T19" s="87"/>
      <c r="U19" s="87"/>
      <c r="V19" s="87"/>
      <c r="W19" s="87"/>
      <c r="X19" s="87"/>
      <c r="Y19" s="87"/>
      <c r="Z19" s="131"/>
      <c r="AA19" s="131"/>
      <c r="AB19" s="35"/>
      <c r="AC19" s="35"/>
      <c r="AD19" s="35"/>
    </row>
    <row r="20" spans="1:53" x14ac:dyDescent="0.25">
      <c r="B20" s="591" t="s">
        <v>294</v>
      </c>
      <c r="C20" s="591"/>
      <c r="D20" s="591"/>
      <c r="E20" s="591"/>
      <c r="F20" s="591"/>
      <c r="G20" s="591"/>
      <c r="H20" s="591"/>
      <c r="I20" s="591"/>
      <c r="J20" s="591"/>
      <c r="K20" s="591"/>
      <c r="L20" s="591"/>
      <c r="M20" s="591"/>
      <c r="N20" s="591"/>
      <c r="O20" s="591"/>
      <c r="P20" s="125"/>
      <c r="Q20" s="87"/>
      <c r="R20" s="87"/>
      <c r="S20" s="87"/>
      <c r="T20" s="87"/>
      <c r="U20" s="87"/>
      <c r="V20" s="87"/>
      <c r="W20" s="87"/>
      <c r="X20" s="87"/>
      <c r="Y20" s="87"/>
      <c r="Z20" s="131"/>
      <c r="AA20" s="131"/>
      <c r="AB20" s="11"/>
      <c r="AC20" s="11"/>
      <c r="AD20" s="11"/>
      <c r="AE20" s="11"/>
      <c r="AF20" s="11"/>
      <c r="AG20" s="11"/>
      <c r="AH20" s="11"/>
      <c r="AI20" s="11"/>
      <c r="AJ20" s="11"/>
      <c r="AM20" s="97"/>
      <c r="AN20" s="97"/>
      <c r="AO20" s="97"/>
      <c r="AP20" s="97"/>
      <c r="AQ20" s="97"/>
      <c r="AR20" s="11"/>
      <c r="AS20" s="11"/>
      <c r="AT20" s="11"/>
    </row>
    <row r="21" spans="1:53" x14ac:dyDescent="0.25">
      <c r="A21" s="144"/>
      <c r="B21" s="587" t="s">
        <v>417</v>
      </c>
      <c r="C21" s="527"/>
      <c r="D21" s="113">
        <f ca="1">IFERROR(INDIRECT(B21 &amp; "!" &amp; "$I$68"),0)</f>
        <v>0</v>
      </c>
      <c r="E21" s="113">
        <f ca="1">IFERROR(INDIRECT(B21 &amp; "!" &amp; "$I$69"),0)</f>
        <v>0</v>
      </c>
      <c r="F21" s="145">
        <f ca="1">IFERROR(INDIRECT(B21 &amp; "!" &amp; "$I$70"),0)</f>
        <v>0</v>
      </c>
      <c r="G21" s="129" t="s">
        <v>29</v>
      </c>
      <c r="H21" s="113">
        <f ca="1">IFERROR(INDIRECT(B21 &amp; "!" &amp; "$E$33"),0)</f>
        <v>0.54</v>
      </c>
      <c r="I21" s="113">
        <f ca="1">H21*D21*D21</f>
        <v>0</v>
      </c>
      <c r="J21" s="145">
        <f ca="1">SQRT(H21*D21)</f>
        <v>0</v>
      </c>
      <c r="K21" s="129" t="s">
        <v>29</v>
      </c>
      <c r="L21" s="129" t="s">
        <v>29</v>
      </c>
      <c r="M21" s="129" t="s">
        <v>29</v>
      </c>
      <c r="N21" s="129" t="s">
        <v>29</v>
      </c>
      <c r="O21" s="157" t="s">
        <v>29</v>
      </c>
      <c r="P21" s="99"/>
      <c r="Q21" s="131"/>
      <c r="R21" s="131"/>
      <c r="S21" s="131"/>
      <c r="T21" s="97"/>
      <c r="U21" s="11"/>
      <c r="V21" s="97"/>
      <c r="X21" s="97"/>
      <c r="Y21" s="11"/>
      <c r="Z21" s="97"/>
      <c r="AB21" s="125"/>
      <c r="AC21" s="125"/>
      <c r="AD21" s="125"/>
      <c r="AE21" s="125"/>
      <c r="AF21" s="125"/>
      <c r="AG21" s="125"/>
      <c r="AH21" s="125"/>
      <c r="AI21" s="125"/>
      <c r="AJ21" s="125"/>
      <c r="AM21" s="97"/>
      <c r="AN21" s="97"/>
      <c r="AO21" s="97"/>
      <c r="AP21" s="11"/>
      <c r="AQ21" s="97"/>
      <c r="AR21" s="11"/>
      <c r="AS21" s="11"/>
      <c r="AT21" s="11"/>
    </row>
    <row r="22" spans="1:53" x14ac:dyDescent="0.25">
      <c r="A22" s="146"/>
      <c r="B22" s="507" t="s">
        <v>418</v>
      </c>
      <c r="C22" s="527"/>
      <c r="D22" s="113">
        <f t="shared" ref="D22:D28" ca="1" si="6">IFERROR(INDIRECT(B22 &amp; "!" &amp; "$I$68"),0)</f>
        <v>0</v>
      </c>
      <c r="E22" s="113">
        <f t="shared" ref="E22:E28" ca="1" si="7">IFERROR(INDIRECT(B22 &amp; "!" &amp; "$I$69"),0)</f>
        <v>0</v>
      </c>
      <c r="F22" s="145">
        <f t="shared" ref="F22:F28" ca="1" si="8">IFERROR(INDIRECT(B22 &amp; "!" &amp; "$I$70"),0)</f>
        <v>0</v>
      </c>
      <c r="G22" s="129" t="s">
        <v>29</v>
      </c>
      <c r="H22" s="113">
        <f t="shared" ref="H22:H28" ca="1" si="9">IFERROR(INDIRECT(B22 &amp; "!" &amp; "$E$33"),0)</f>
        <v>0</v>
      </c>
      <c r="I22" s="113">
        <f t="shared" ref="I22:I28" ca="1" si="10">H22*D22*D22</f>
        <v>0</v>
      </c>
      <c r="J22" s="145">
        <f t="shared" ref="J22:J28" ca="1" si="11">SQRT(H22*D22)</f>
        <v>0</v>
      </c>
      <c r="K22" s="129" t="s">
        <v>29</v>
      </c>
      <c r="L22" s="129" t="s">
        <v>29</v>
      </c>
      <c r="M22" s="129" t="s">
        <v>29</v>
      </c>
      <c r="N22" s="129" t="s">
        <v>29</v>
      </c>
      <c r="O22" s="157" t="s">
        <v>29</v>
      </c>
      <c r="Q22" s="119"/>
      <c r="R22" s="11"/>
      <c r="S22" s="11"/>
      <c r="T22" s="11"/>
      <c r="U22" s="11"/>
      <c r="X22" s="11"/>
      <c r="Y22" s="11"/>
      <c r="AB22" s="87"/>
      <c r="AC22" s="87"/>
      <c r="AD22" s="87"/>
      <c r="AE22" s="87"/>
      <c r="AF22" s="87"/>
      <c r="AG22" s="87"/>
      <c r="AH22" s="87"/>
      <c r="AI22" s="87"/>
      <c r="AJ22" s="87"/>
      <c r="AM22" s="97"/>
      <c r="AN22" s="97"/>
      <c r="AO22" s="11"/>
      <c r="AP22" s="11"/>
      <c r="AQ22" s="11"/>
      <c r="AR22" s="11"/>
      <c r="AS22" s="11"/>
      <c r="AT22" s="11"/>
    </row>
    <row r="23" spans="1:53" x14ac:dyDescent="0.25">
      <c r="A23" s="131"/>
      <c r="B23" s="587" t="s">
        <v>419</v>
      </c>
      <c r="C23" s="527"/>
      <c r="D23" s="113">
        <f t="shared" ca="1" si="6"/>
        <v>0</v>
      </c>
      <c r="E23" s="113">
        <f t="shared" ca="1" si="7"/>
        <v>0</v>
      </c>
      <c r="F23" s="145">
        <f t="shared" ca="1" si="8"/>
        <v>0</v>
      </c>
      <c r="G23" s="129" t="s">
        <v>29</v>
      </c>
      <c r="H23" s="113">
        <f t="shared" ca="1" si="9"/>
        <v>0</v>
      </c>
      <c r="I23" s="113">
        <f t="shared" ca="1" si="10"/>
        <v>0</v>
      </c>
      <c r="J23" s="145">
        <f t="shared" ca="1" si="11"/>
        <v>0</v>
      </c>
      <c r="K23" s="129" t="s">
        <v>29</v>
      </c>
      <c r="L23" s="129" t="s">
        <v>29</v>
      </c>
      <c r="M23" s="129" t="s">
        <v>29</v>
      </c>
      <c r="N23" s="129" t="s">
        <v>29</v>
      </c>
      <c r="O23" s="157" t="s">
        <v>29</v>
      </c>
      <c r="Q23" s="131"/>
      <c r="AB23" s="87"/>
      <c r="AC23" s="87"/>
      <c r="AD23" s="87"/>
      <c r="AE23" s="87"/>
      <c r="AF23" s="87"/>
      <c r="AG23" s="87"/>
      <c r="AH23" s="87"/>
      <c r="AI23" s="87"/>
      <c r="AJ23" s="87"/>
      <c r="AM23" s="11"/>
      <c r="AN23" s="11"/>
      <c r="AO23" s="11"/>
      <c r="AP23" s="11"/>
      <c r="AQ23" s="134"/>
      <c r="AR23" s="134"/>
      <c r="AS23" s="134"/>
      <c r="AT23" s="134"/>
    </row>
    <row r="24" spans="1:53" x14ac:dyDescent="0.25">
      <c r="A24" s="131"/>
      <c r="B24" s="507" t="s">
        <v>420</v>
      </c>
      <c r="C24" s="527"/>
      <c r="D24" s="113">
        <f t="shared" ca="1" si="6"/>
        <v>0</v>
      </c>
      <c r="E24" s="113">
        <f t="shared" ca="1" si="7"/>
        <v>0</v>
      </c>
      <c r="F24" s="145">
        <f t="shared" ca="1" si="8"/>
        <v>0</v>
      </c>
      <c r="G24" s="129" t="s">
        <v>29</v>
      </c>
      <c r="H24" s="113">
        <f t="shared" ca="1" si="9"/>
        <v>0</v>
      </c>
      <c r="I24" s="113">
        <f t="shared" ca="1" si="10"/>
        <v>0</v>
      </c>
      <c r="J24" s="145">
        <f t="shared" ca="1" si="11"/>
        <v>0</v>
      </c>
      <c r="K24" s="129" t="s">
        <v>29</v>
      </c>
      <c r="L24" s="129" t="s">
        <v>29</v>
      </c>
      <c r="M24" s="129" t="s">
        <v>29</v>
      </c>
      <c r="N24" s="129" t="s">
        <v>29</v>
      </c>
      <c r="O24" s="157" t="s">
        <v>29</v>
      </c>
      <c r="T24" s="133"/>
      <c r="U24" s="133"/>
      <c r="V24" s="133"/>
      <c r="W24" s="79"/>
      <c r="X24" s="133"/>
      <c r="Y24" s="133"/>
      <c r="Z24" s="133"/>
      <c r="AA24" s="79"/>
      <c r="AB24" s="147"/>
      <c r="AC24" s="147"/>
      <c r="AD24" s="147"/>
      <c r="AE24" s="147"/>
      <c r="AF24" s="147"/>
      <c r="AG24" s="147"/>
      <c r="AH24" s="147"/>
      <c r="AI24" s="147"/>
      <c r="AJ24" s="147"/>
      <c r="AM24" s="11"/>
      <c r="AN24" s="11"/>
      <c r="AO24" s="11"/>
      <c r="AP24" s="11"/>
      <c r="AQ24" s="136"/>
      <c r="AR24" s="136"/>
      <c r="AS24" s="136"/>
      <c r="AT24" s="136"/>
    </row>
    <row r="25" spans="1:53" x14ac:dyDescent="0.25">
      <c r="A25" s="148"/>
      <c r="B25" s="587" t="s">
        <v>421</v>
      </c>
      <c r="C25" s="527"/>
      <c r="D25" s="113">
        <f t="shared" ca="1" si="6"/>
        <v>0</v>
      </c>
      <c r="E25" s="113">
        <f t="shared" ca="1" si="7"/>
        <v>0</v>
      </c>
      <c r="F25" s="145">
        <f t="shared" ca="1" si="8"/>
        <v>0</v>
      </c>
      <c r="G25" s="129" t="s">
        <v>29</v>
      </c>
      <c r="H25" s="113">
        <f t="shared" ca="1" si="9"/>
        <v>0</v>
      </c>
      <c r="I25" s="113">
        <f t="shared" ca="1" si="10"/>
        <v>0</v>
      </c>
      <c r="J25" s="145">
        <f t="shared" ca="1" si="11"/>
        <v>0</v>
      </c>
      <c r="K25" s="129" t="s">
        <v>29</v>
      </c>
      <c r="L25" s="129" t="s">
        <v>29</v>
      </c>
      <c r="M25" s="129" t="s">
        <v>29</v>
      </c>
      <c r="N25" s="129" t="s">
        <v>29</v>
      </c>
      <c r="O25" s="157" t="s">
        <v>29</v>
      </c>
      <c r="P25" s="135"/>
      <c r="T25" s="79"/>
      <c r="U25" s="79"/>
      <c r="V25" s="79"/>
      <c r="W25" s="79"/>
      <c r="X25" s="79"/>
      <c r="Y25" s="79"/>
      <c r="Z25" s="79"/>
      <c r="AA25" s="79"/>
      <c r="AB25" s="149"/>
      <c r="AC25" s="149"/>
      <c r="AD25" s="149"/>
      <c r="AE25" s="149"/>
      <c r="AF25" s="149"/>
      <c r="AG25" s="149"/>
      <c r="AH25" s="149"/>
      <c r="AI25" s="149"/>
      <c r="AJ25" s="149"/>
      <c r="AM25" s="119"/>
      <c r="AN25" s="11"/>
      <c r="AO25" s="137"/>
      <c r="AP25" s="11"/>
      <c r="AQ25" s="138"/>
      <c r="AR25" s="138"/>
      <c r="AS25" s="139"/>
      <c r="AT25" s="139"/>
    </row>
    <row r="26" spans="1:53" x14ac:dyDescent="0.25">
      <c r="A26" s="148"/>
      <c r="B26" s="507" t="s">
        <v>422</v>
      </c>
      <c r="C26" s="527"/>
      <c r="D26" s="113">
        <f t="shared" ca="1" si="6"/>
        <v>0</v>
      </c>
      <c r="E26" s="113">
        <f t="shared" ca="1" si="7"/>
        <v>0</v>
      </c>
      <c r="F26" s="145">
        <f t="shared" ca="1" si="8"/>
        <v>0</v>
      </c>
      <c r="G26" s="129" t="s">
        <v>29</v>
      </c>
      <c r="H26" s="113">
        <f t="shared" ca="1" si="9"/>
        <v>0</v>
      </c>
      <c r="I26" s="113">
        <f t="shared" ca="1" si="10"/>
        <v>0</v>
      </c>
      <c r="J26" s="145">
        <f t="shared" ca="1" si="11"/>
        <v>0</v>
      </c>
      <c r="K26" s="129" t="s">
        <v>29</v>
      </c>
      <c r="L26" s="129" t="s">
        <v>29</v>
      </c>
      <c r="M26" s="129" t="s">
        <v>29</v>
      </c>
      <c r="N26" s="129" t="s">
        <v>29</v>
      </c>
      <c r="O26" s="157" t="s">
        <v>29</v>
      </c>
      <c r="P26" s="97"/>
      <c r="Q26" s="122"/>
      <c r="R26" s="11"/>
      <c r="S26" s="11"/>
      <c r="T26" s="123"/>
      <c r="U26" s="123"/>
      <c r="V26" s="123"/>
      <c r="W26" s="11"/>
      <c r="X26" s="78"/>
      <c r="Y26" s="78"/>
      <c r="Z26" s="78"/>
      <c r="AA26" s="78"/>
      <c r="AB26" s="97"/>
      <c r="AC26" s="11"/>
      <c r="AD26" s="11"/>
      <c r="AE26" s="11"/>
      <c r="AF26" s="11"/>
      <c r="AG26" s="11"/>
      <c r="AH26" s="11"/>
      <c r="AI26" s="11"/>
      <c r="AJ26" s="11"/>
      <c r="AM26" s="11"/>
      <c r="AN26" s="11"/>
      <c r="AO26" s="11"/>
      <c r="AP26" s="11"/>
      <c r="AQ26" s="138"/>
      <c r="AR26" s="138"/>
      <c r="AS26" s="138"/>
      <c r="AT26" s="138"/>
    </row>
    <row r="27" spans="1:53" x14ac:dyDescent="0.25">
      <c r="A27" s="65"/>
      <c r="B27" s="587" t="s">
        <v>423</v>
      </c>
      <c r="C27" s="527"/>
      <c r="D27" s="113">
        <f t="shared" ca="1" si="6"/>
        <v>0</v>
      </c>
      <c r="E27" s="113">
        <f t="shared" ca="1" si="7"/>
        <v>0</v>
      </c>
      <c r="F27" s="145">
        <f t="shared" ca="1" si="8"/>
        <v>0</v>
      </c>
      <c r="G27" s="129" t="s">
        <v>29</v>
      </c>
      <c r="H27" s="113">
        <f t="shared" ca="1" si="9"/>
        <v>0</v>
      </c>
      <c r="I27" s="113">
        <f t="shared" ca="1" si="10"/>
        <v>0</v>
      </c>
      <c r="J27" s="145">
        <f t="shared" ca="1" si="11"/>
        <v>0</v>
      </c>
      <c r="K27" s="129" t="s">
        <v>29</v>
      </c>
      <c r="L27" s="129" t="s">
        <v>29</v>
      </c>
      <c r="M27" s="129" t="s">
        <v>29</v>
      </c>
      <c r="N27" s="129" t="s">
        <v>29</v>
      </c>
      <c r="O27" s="157" t="s">
        <v>29</v>
      </c>
      <c r="P27" s="97"/>
      <c r="Q27" s="122"/>
      <c r="R27" s="11"/>
      <c r="S27" s="11"/>
      <c r="T27" s="123"/>
      <c r="U27" s="123"/>
      <c r="V27" s="123"/>
      <c r="W27" s="11"/>
      <c r="X27" s="78"/>
      <c r="Y27" s="78"/>
      <c r="Z27" s="78"/>
      <c r="AA27" s="78"/>
      <c r="AB27" s="97"/>
      <c r="AC27" s="11"/>
      <c r="AD27" s="11"/>
      <c r="AE27" s="11"/>
      <c r="AF27" s="11"/>
      <c r="AG27" s="11"/>
      <c r="AH27" s="11"/>
      <c r="AI27" s="11"/>
      <c r="AJ27" s="11"/>
      <c r="AM27" s="11"/>
      <c r="AN27" s="11"/>
      <c r="AO27" s="11"/>
      <c r="AP27" s="11"/>
      <c r="AQ27" s="138"/>
      <c r="AR27" s="138"/>
      <c r="AS27" s="138"/>
      <c r="AT27" s="138"/>
    </row>
    <row r="28" spans="1:53" ht="13.8" thickBot="1" x14ac:dyDescent="0.3">
      <c r="A28" s="69"/>
      <c r="B28" s="507" t="s">
        <v>424</v>
      </c>
      <c r="C28" s="527"/>
      <c r="D28" s="113">
        <f t="shared" ca="1" si="6"/>
        <v>0</v>
      </c>
      <c r="E28" s="113">
        <f t="shared" ca="1" si="7"/>
        <v>0</v>
      </c>
      <c r="F28" s="145">
        <f t="shared" ca="1" si="8"/>
        <v>0</v>
      </c>
      <c r="G28" s="201" t="s">
        <v>29</v>
      </c>
      <c r="H28" s="113">
        <f t="shared" ca="1" si="9"/>
        <v>0</v>
      </c>
      <c r="I28" s="113">
        <f t="shared" ca="1" si="10"/>
        <v>0</v>
      </c>
      <c r="J28" s="145">
        <f t="shared" ca="1" si="11"/>
        <v>0</v>
      </c>
      <c r="K28" s="201" t="s">
        <v>29</v>
      </c>
      <c r="L28" s="201" t="s">
        <v>29</v>
      </c>
      <c r="M28" s="201" t="s">
        <v>29</v>
      </c>
      <c r="N28" s="201" t="s">
        <v>29</v>
      </c>
      <c r="O28" s="202" t="s">
        <v>29</v>
      </c>
      <c r="P28" s="126"/>
      <c r="Q28" s="122"/>
      <c r="R28" s="122"/>
      <c r="S28" s="122"/>
      <c r="V28" s="78"/>
      <c r="W28" s="78"/>
      <c r="X28" s="78"/>
      <c r="Y28" s="78"/>
      <c r="Z28" s="78"/>
      <c r="AA28" s="78"/>
      <c r="AB28" s="35"/>
      <c r="AC28" s="35"/>
      <c r="AD28" s="35"/>
      <c r="AE28" s="35"/>
      <c r="AF28" s="35"/>
      <c r="AG28" s="35"/>
      <c r="AH28" s="35"/>
      <c r="AI28" s="35"/>
      <c r="AJ28" s="35"/>
      <c r="AM28" s="141"/>
      <c r="AN28" s="142"/>
      <c r="AO28" s="137"/>
      <c r="AP28" s="11"/>
      <c r="AQ28" s="138"/>
      <c r="AR28" s="138"/>
      <c r="AS28" s="139"/>
      <c r="AT28" s="139"/>
    </row>
    <row r="29" spans="1:53" ht="13.8" thickBot="1" x14ac:dyDescent="0.3">
      <c r="A29" s="69"/>
      <c r="B29" s="646" t="s">
        <v>398</v>
      </c>
      <c r="C29" s="647"/>
      <c r="D29" s="212">
        <f ca="1">SUM(D21:D28)</f>
        <v>0</v>
      </c>
      <c r="E29" s="212">
        <f t="shared" ref="E29:F29" ca="1" si="12">SUM(E21:E28)</f>
        <v>0</v>
      </c>
      <c r="F29" s="212">
        <f t="shared" ca="1" si="12"/>
        <v>0</v>
      </c>
      <c r="G29" s="241"/>
      <c r="H29" s="242"/>
      <c r="I29" s="243"/>
      <c r="J29" s="244"/>
      <c r="K29" s="241"/>
      <c r="L29" s="241"/>
      <c r="M29" s="241"/>
      <c r="N29" s="241"/>
      <c r="O29" s="245"/>
      <c r="P29" s="126"/>
      <c r="Q29" s="122"/>
      <c r="R29" s="122"/>
      <c r="S29" s="122"/>
      <c r="V29" s="78"/>
      <c r="W29" s="78"/>
      <c r="X29" s="78"/>
      <c r="Y29" s="78"/>
      <c r="Z29" s="78"/>
      <c r="AA29" s="78"/>
      <c r="AB29" s="35"/>
      <c r="AC29" s="35"/>
      <c r="AD29" s="35"/>
      <c r="AE29" s="35"/>
      <c r="AF29" s="35"/>
      <c r="AG29" s="35"/>
      <c r="AH29" s="35"/>
      <c r="AI29" s="35"/>
      <c r="AJ29" s="35"/>
      <c r="AM29" s="141"/>
      <c r="AN29" s="142"/>
      <c r="AO29" s="137"/>
      <c r="AP29" s="11"/>
      <c r="AQ29" s="138"/>
      <c r="AR29" s="138"/>
      <c r="AS29" s="139"/>
      <c r="AT29" s="139"/>
    </row>
    <row r="30" spans="1:53" ht="14.4" thickTop="1" thickBot="1" x14ac:dyDescent="0.3">
      <c r="A30" s="128"/>
      <c r="B30" s="651" t="s">
        <v>345</v>
      </c>
      <c r="C30" s="652"/>
      <c r="D30" s="203">
        <f ca="1">SUM(D11:D18)+SUM(D21:D28)</f>
        <v>0</v>
      </c>
      <c r="E30" s="203">
        <f ca="1">SUM(E11:E18)+SUM(E21:E28)</f>
        <v>0</v>
      </c>
      <c r="F30" s="203">
        <f ca="1">SUM(F11:F18)+SUM(F21:F28)</f>
        <v>0</v>
      </c>
      <c r="G30" s="204">
        <v>0</v>
      </c>
      <c r="H30" s="205" t="s">
        <v>29</v>
      </c>
      <c r="I30" s="203">
        <f ca="1">SUM(I11:I18)+SUM(I21:I28)</f>
        <v>0</v>
      </c>
      <c r="J30" s="203">
        <f ca="1">SUM(J11:J18)+SUM(J21:J28)</f>
        <v>0</v>
      </c>
      <c r="K30" s="206">
        <f ca="1">IFERROR(1/(1+I30/D30),0)</f>
        <v>0</v>
      </c>
      <c r="L30" s="206">
        <f ca="1">K30*D30+((1-K30)*G30)</f>
        <v>0</v>
      </c>
      <c r="M30" s="206" t="e">
        <f ca="1">1/(1+(J30/D30))</f>
        <v>#DIV/0!</v>
      </c>
      <c r="N30" s="206" t="e">
        <f ca="1">+M30*D30+(1-M30)*G30</f>
        <v>#DIV/0!</v>
      </c>
      <c r="O30" s="116" t="e">
        <f ca="1">(L30+N30)/2</f>
        <v>#DIV/0!</v>
      </c>
      <c r="P30" s="126"/>
      <c r="S30" s="35"/>
      <c r="T30" s="35"/>
      <c r="U30" s="35"/>
      <c r="V30" s="35"/>
      <c r="W30" s="35"/>
      <c r="X30" s="35"/>
      <c r="Y30" s="35"/>
      <c r="Z30" s="35"/>
      <c r="AA30" s="35"/>
      <c r="AB30" s="35"/>
      <c r="AC30" s="35"/>
      <c r="AD30" s="35"/>
      <c r="AE30" s="35"/>
      <c r="AF30" s="35"/>
      <c r="AG30" s="35"/>
      <c r="AH30" s="35"/>
      <c r="AI30" s="35"/>
      <c r="AJ30" s="35"/>
      <c r="AM30" s="142"/>
      <c r="AN30" s="142"/>
      <c r="AO30" s="11"/>
      <c r="AP30" s="11"/>
      <c r="AQ30" s="138"/>
      <c r="AR30" s="138"/>
      <c r="AS30" s="138"/>
      <c r="AT30" s="138"/>
    </row>
    <row r="31" spans="1:53" x14ac:dyDescent="0.25">
      <c r="A31" s="76"/>
      <c r="B31" s="88"/>
      <c r="C31" s="144"/>
      <c r="D31" s="144"/>
      <c r="F31" s="76"/>
      <c r="H31" s="76"/>
      <c r="J31" s="76"/>
      <c r="K31" s="76"/>
      <c r="L31" s="76"/>
      <c r="P31" s="126"/>
      <c r="S31" s="35"/>
      <c r="T31" s="35"/>
      <c r="U31" s="35"/>
      <c r="V31" s="35"/>
      <c r="W31" s="35"/>
      <c r="X31" s="35"/>
      <c r="Y31" s="35"/>
      <c r="Z31" s="35"/>
      <c r="AA31" s="35"/>
      <c r="AB31" s="35"/>
      <c r="AC31" s="35"/>
      <c r="AD31" s="35"/>
      <c r="AE31" s="35"/>
      <c r="AF31" s="35"/>
      <c r="AG31" s="35"/>
      <c r="AH31" s="35"/>
      <c r="AI31" s="35"/>
      <c r="AJ31" s="35"/>
      <c r="AM31" s="142"/>
      <c r="AN31" s="142"/>
      <c r="AO31" s="137"/>
      <c r="AP31" s="65"/>
      <c r="AQ31" s="65"/>
      <c r="AR31" s="65"/>
      <c r="AS31" s="65"/>
      <c r="AT31" s="65"/>
    </row>
    <row r="32" spans="1:53" x14ac:dyDescent="0.25">
      <c r="A32" s="87"/>
      <c r="B32" s="88"/>
      <c r="C32" s="152"/>
      <c r="D32" s="87"/>
      <c r="E32" s="87"/>
      <c r="F32" s="87"/>
      <c r="G32" s="11"/>
      <c r="H32" s="87"/>
      <c r="J32" s="87"/>
      <c r="K32" s="87"/>
      <c r="L32" s="87"/>
      <c r="P32" s="126"/>
      <c r="S32" s="35"/>
      <c r="T32" s="35"/>
      <c r="U32" s="35"/>
      <c r="V32" s="35"/>
      <c r="W32" s="35"/>
      <c r="X32" s="35"/>
      <c r="Y32" s="35"/>
      <c r="Z32" s="35"/>
      <c r="AA32" s="35"/>
      <c r="AB32" s="35"/>
      <c r="AC32" s="35"/>
      <c r="AD32" s="35"/>
      <c r="AE32" s="35"/>
      <c r="AF32" s="35"/>
      <c r="AG32" s="35"/>
      <c r="AH32" s="35"/>
      <c r="AI32" s="35"/>
      <c r="AJ32" s="35"/>
      <c r="AM32" s="120"/>
      <c r="AN32" s="120"/>
      <c r="AO32" s="121"/>
      <c r="AP32" s="121"/>
      <c r="AQ32" s="121"/>
      <c r="AR32" s="121"/>
      <c r="AS32" s="121"/>
      <c r="AT32" s="121"/>
    </row>
    <row r="33" spans="1:54" x14ac:dyDescent="0.25">
      <c r="B33" s="88"/>
      <c r="C33" s="119"/>
      <c r="D33" s="11"/>
      <c r="E33" s="11"/>
      <c r="J33" s="137"/>
      <c r="K33" s="11"/>
      <c r="P33" s="126"/>
      <c r="S33" s="35"/>
      <c r="T33" s="35"/>
      <c r="U33" s="35"/>
      <c r="V33" s="35"/>
      <c r="W33" s="35"/>
      <c r="X33" s="35"/>
      <c r="Y33" s="35"/>
      <c r="Z33" s="35"/>
      <c r="AA33" s="35"/>
      <c r="AB33" s="35"/>
      <c r="AC33" s="35"/>
      <c r="AD33" s="35"/>
      <c r="AE33" s="35"/>
      <c r="AF33" s="35"/>
      <c r="AG33" s="35"/>
      <c r="AH33" s="35"/>
      <c r="AI33" s="35"/>
      <c r="AJ33" s="35"/>
      <c r="AM33" s="119"/>
      <c r="AN33" s="121"/>
      <c r="AO33" s="121"/>
      <c r="AP33" s="121"/>
      <c r="AQ33" s="121"/>
      <c r="AR33" s="121"/>
      <c r="AS33" s="121"/>
      <c r="AT33" s="121"/>
    </row>
    <row r="34" spans="1:54" x14ac:dyDescent="0.25">
      <c r="B34" s="88"/>
      <c r="C34" s="137"/>
      <c r="D34" s="137"/>
      <c r="E34" s="137"/>
      <c r="F34" s="141"/>
      <c r="G34" s="142"/>
      <c r="H34" s="141"/>
      <c r="J34" s="11"/>
      <c r="K34" s="11"/>
      <c r="L34" s="137"/>
      <c r="M34" s="11"/>
      <c r="P34" s="126"/>
      <c r="S34" s="35"/>
      <c r="T34" s="35"/>
      <c r="U34" s="35"/>
      <c r="V34" s="35"/>
      <c r="W34" s="35"/>
      <c r="X34" s="35"/>
      <c r="Y34" s="35"/>
      <c r="Z34" s="35"/>
      <c r="AA34" s="35"/>
      <c r="AB34" s="35"/>
      <c r="AC34" s="35"/>
      <c r="AD34" s="35"/>
      <c r="AE34" s="35"/>
      <c r="AF34" s="35"/>
      <c r="AG34" s="35"/>
      <c r="AH34" s="35"/>
      <c r="AI34" s="35"/>
      <c r="AJ34" s="35"/>
      <c r="AM34" s="120"/>
      <c r="AN34" s="120"/>
      <c r="AO34" s="121"/>
      <c r="AP34" s="121"/>
      <c r="AQ34" s="121"/>
      <c r="AR34" s="121"/>
      <c r="AS34" s="121"/>
      <c r="AT34" s="121"/>
    </row>
    <row r="35" spans="1:54" ht="13.8" thickBot="1" x14ac:dyDescent="0.3">
      <c r="B35" s="88"/>
      <c r="C35" s="119"/>
      <c r="D35" s="11"/>
      <c r="E35" s="11"/>
      <c r="K35" s="65"/>
      <c r="L35" s="78"/>
      <c r="M35" s="11"/>
      <c r="P35" s="126"/>
      <c r="S35" s="35"/>
      <c r="T35" s="35"/>
      <c r="U35" s="35"/>
      <c r="V35" s="35"/>
      <c r="W35" s="35"/>
      <c r="X35" s="35"/>
      <c r="Y35" s="35"/>
      <c r="Z35" s="35"/>
      <c r="AA35" s="35"/>
      <c r="AB35" s="35"/>
      <c r="AC35" s="35"/>
      <c r="AD35" s="35"/>
      <c r="AE35" s="35"/>
      <c r="AF35" s="35"/>
      <c r="AG35" s="35"/>
      <c r="AH35" s="35"/>
      <c r="AI35" s="35"/>
      <c r="AJ35" s="35"/>
      <c r="AM35" s="121"/>
      <c r="AN35" s="121"/>
      <c r="AO35" s="121"/>
      <c r="AP35" s="121"/>
      <c r="AQ35" s="121"/>
      <c r="AR35" s="121"/>
      <c r="AS35" s="121"/>
      <c r="AT35" s="121"/>
    </row>
    <row r="36" spans="1:54" ht="13.8" thickTop="1" x14ac:dyDescent="0.25">
      <c r="B36" s="592" t="s">
        <v>323</v>
      </c>
      <c r="C36" s="593"/>
      <c r="D36" s="593"/>
      <c r="E36" s="593"/>
      <c r="F36" s="593"/>
      <c r="G36" s="593"/>
      <c r="H36" s="593"/>
      <c r="I36" s="593"/>
      <c r="J36" s="593"/>
      <c r="K36" s="65"/>
      <c r="L36" s="78"/>
      <c r="M36" s="11"/>
      <c r="P36" s="125"/>
      <c r="Q36" s="11"/>
      <c r="R36" s="11"/>
      <c r="S36" s="11"/>
      <c r="T36" s="11"/>
      <c r="U36" s="11"/>
      <c r="V36" s="11"/>
      <c r="W36" s="11"/>
      <c r="X36" s="11"/>
      <c r="Y36" s="11"/>
      <c r="Z36" s="11"/>
      <c r="AA36" s="11"/>
      <c r="AB36" s="97"/>
      <c r="AC36" s="97"/>
      <c r="AD36" s="97"/>
      <c r="AE36" s="97"/>
      <c r="AF36" s="97"/>
      <c r="AG36" s="97"/>
      <c r="AH36" s="97"/>
      <c r="AI36" s="97"/>
      <c r="AJ36" s="97"/>
      <c r="AM36" s="121"/>
      <c r="AN36" s="121"/>
      <c r="AO36" s="121"/>
      <c r="AP36" s="121"/>
      <c r="AQ36" s="121"/>
      <c r="AR36" s="121"/>
      <c r="AS36" s="121"/>
      <c r="AT36" s="121"/>
    </row>
    <row r="37" spans="1:54" ht="13.8" thickBot="1" x14ac:dyDescent="0.3">
      <c r="A37" s="69"/>
      <c r="B37" s="594"/>
      <c r="C37" s="594"/>
      <c r="D37" s="594"/>
      <c r="E37" s="594"/>
      <c r="F37" s="594"/>
      <c r="G37" s="594"/>
      <c r="H37" s="594"/>
      <c r="I37" s="594"/>
      <c r="J37" s="594"/>
      <c r="K37" s="65"/>
      <c r="L37" s="78"/>
      <c r="M37" s="11"/>
      <c r="P37" s="126"/>
      <c r="S37" s="35"/>
      <c r="T37" s="35"/>
      <c r="U37" s="35"/>
      <c r="V37" s="35"/>
      <c r="W37" s="35"/>
      <c r="X37" s="35"/>
      <c r="Y37" s="35"/>
      <c r="Z37" s="35"/>
      <c r="AA37" s="35"/>
      <c r="AB37" s="35"/>
      <c r="AC37" s="35"/>
      <c r="AD37" s="35"/>
      <c r="AE37" s="35"/>
      <c r="AF37" s="35"/>
      <c r="AG37" s="35"/>
      <c r="AH37" s="35"/>
      <c r="AI37" s="35"/>
      <c r="AJ37" s="35"/>
      <c r="AM37" s="121"/>
      <c r="AN37" s="121"/>
      <c r="AO37" s="121"/>
      <c r="AP37" s="121"/>
      <c r="AQ37" s="121"/>
      <c r="AR37" s="121"/>
      <c r="AS37" s="121"/>
      <c r="AT37" s="121"/>
    </row>
    <row r="38" spans="1:54" x14ac:dyDescent="0.25">
      <c r="A38" s="121"/>
      <c r="B38" s="493" t="s">
        <v>32</v>
      </c>
      <c r="C38" s="488"/>
      <c r="D38" s="488"/>
      <c r="E38" s="487" t="s">
        <v>33</v>
      </c>
      <c r="F38" s="488"/>
      <c r="G38" s="488"/>
      <c r="H38" s="487" t="s">
        <v>34</v>
      </c>
      <c r="I38" s="488"/>
      <c r="J38" s="423"/>
      <c r="K38" s="156"/>
      <c r="L38" s="137"/>
      <c r="M38" s="11"/>
      <c r="P38" s="126"/>
      <c r="S38" s="127"/>
      <c r="T38" s="35"/>
      <c r="U38" s="35"/>
      <c r="V38" s="35"/>
      <c r="W38" s="35"/>
      <c r="X38" s="35"/>
      <c r="Y38" s="35"/>
      <c r="Z38" s="35"/>
      <c r="AA38" s="35"/>
      <c r="AB38" s="127"/>
      <c r="AC38" s="35"/>
      <c r="AD38" s="35"/>
      <c r="AE38" s="35"/>
      <c r="AF38" s="35"/>
      <c r="AG38" s="35"/>
      <c r="AH38" s="35"/>
      <c r="AI38" s="35"/>
      <c r="AJ38" s="35"/>
      <c r="AM38" s="87"/>
      <c r="AN38" s="79"/>
      <c r="AO38" s="79"/>
      <c r="AP38" s="79"/>
      <c r="AQ38" s="79"/>
      <c r="AR38" s="79"/>
      <c r="AS38" s="131"/>
    </row>
    <row r="39" spans="1:54" ht="14.4" x14ac:dyDescent="0.35">
      <c r="A39" s="121"/>
      <c r="B39" s="612" t="s">
        <v>121</v>
      </c>
      <c r="C39" s="277"/>
      <c r="D39" s="277"/>
      <c r="E39" s="613" t="s">
        <v>297</v>
      </c>
      <c r="F39" s="614"/>
      <c r="G39" s="614"/>
      <c r="H39" s="613" t="s">
        <v>298</v>
      </c>
      <c r="I39" s="614"/>
      <c r="J39" s="615"/>
      <c r="K39" s="142"/>
      <c r="L39" s="78"/>
      <c r="M39" s="11"/>
      <c r="P39" s="126"/>
      <c r="S39" s="127"/>
      <c r="T39" s="35"/>
      <c r="U39" s="35"/>
      <c r="V39" s="35"/>
      <c r="W39" s="35"/>
      <c r="X39" s="35"/>
      <c r="Y39" s="35"/>
      <c r="Z39" s="35"/>
      <c r="AA39" s="35"/>
      <c r="AB39" s="127"/>
      <c r="AC39" s="35"/>
      <c r="AD39" s="35"/>
      <c r="AE39" s="35"/>
      <c r="AF39" s="35"/>
      <c r="AG39" s="35"/>
      <c r="AH39" s="35"/>
      <c r="AI39" s="35"/>
      <c r="AJ39" s="35"/>
      <c r="AM39" s="87"/>
      <c r="AN39" s="79"/>
      <c r="AO39" s="79"/>
      <c r="AP39" s="79"/>
      <c r="AQ39" s="79"/>
      <c r="AR39" s="79"/>
      <c r="AS39" s="131"/>
    </row>
    <row r="40" spans="1:54" ht="15.6" x14ac:dyDescent="0.25">
      <c r="A40" s="124"/>
      <c r="B40" s="507" t="s">
        <v>89</v>
      </c>
      <c r="C40" s="616"/>
      <c r="D40" s="616"/>
      <c r="E40" s="618" t="s">
        <v>324</v>
      </c>
      <c r="F40" s="619"/>
      <c r="G40" s="619"/>
      <c r="H40" s="618" t="s">
        <v>325</v>
      </c>
      <c r="I40" s="619"/>
      <c r="J40" s="620"/>
      <c r="K40" s="88"/>
      <c r="L40" s="88"/>
      <c r="M40" s="88"/>
      <c r="N40" s="88"/>
      <c r="P40" s="126"/>
      <c r="S40" s="127"/>
      <c r="T40" s="35"/>
      <c r="U40" s="35"/>
      <c r="V40" s="35"/>
      <c r="W40" s="35"/>
      <c r="X40" s="35"/>
      <c r="Y40" s="35"/>
      <c r="Z40" s="35"/>
      <c r="AA40" s="35"/>
      <c r="AB40" s="127"/>
      <c r="AC40" s="35"/>
      <c r="AD40" s="35"/>
      <c r="AE40" s="35"/>
      <c r="AF40" s="35"/>
      <c r="AG40" s="35"/>
      <c r="AH40" s="35"/>
      <c r="AI40" s="35"/>
      <c r="AJ40" s="35"/>
      <c r="AM40" s="87"/>
      <c r="AN40" s="79"/>
      <c r="AO40" s="79"/>
      <c r="AP40" s="79"/>
      <c r="AQ40" s="79"/>
      <c r="AR40" s="79"/>
      <c r="AS40" s="131"/>
    </row>
    <row r="41" spans="1:54" x14ac:dyDescent="0.25">
      <c r="A41" s="77"/>
      <c r="B41" s="617"/>
      <c r="C41" s="616"/>
      <c r="D41" s="616"/>
      <c r="E41" s="625">
        <f ca="1">+D30</f>
        <v>0</v>
      </c>
      <c r="F41" s="648"/>
      <c r="G41" s="649"/>
      <c r="H41" s="625" t="e">
        <f ca="1">+O30</f>
        <v>#DIV/0!</v>
      </c>
      <c r="I41" s="650"/>
      <c r="J41" s="650"/>
      <c r="K41" s="77"/>
      <c r="L41" s="77"/>
      <c r="M41" s="77"/>
      <c r="P41" s="126"/>
      <c r="S41" s="35"/>
      <c r="T41" s="35"/>
      <c r="U41" s="35"/>
      <c r="V41" s="35"/>
      <c r="W41" s="35"/>
      <c r="X41" s="35"/>
      <c r="Y41" s="35"/>
      <c r="Z41" s="35"/>
      <c r="AA41" s="35"/>
      <c r="AB41" s="35"/>
      <c r="AC41" s="35"/>
      <c r="AD41" s="35"/>
      <c r="AE41" s="35"/>
      <c r="AF41" s="35"/>
      <c r="AG41" s="35"/>
      <c r="AH41" s="35"/>
      <c r="AI41" s="35"/>
      <c r="AJ41" s="35"/>
      <c r="AM41" s="79"/>
      <c r="AN41" s="79"/>
      <c r="AO41" s="79"/>
      <c r="AP41" s="79"/>
      <c r="AQ41" s="79"/>
      <c r="AR41" s="79"/>
      <c r="AS41" s="131"/>
      <c r="AT41" s="153"/>
      <c r="AU41" s="153"/>
      <c r="AV41" s="153"/>
      <c r="AW41" s="153"/>
      <c r="AX41" s="153"/>
      <c r="AY41" s="153"/>
      <c r="AZ41" s="153"/>
      <c r="BA41" s="153"/>
      <c r="BB41" s="153"/>
    </row>
    <row r="42" spans="1:54" ht="15.6" x14ac:dyDescent="0.25">
      <c r="A42" s="79"/>
      <c r="B42" s="507" t="s">
        <v>301</v>
      </c>
      <c r="C42" s="616"/>
      <c r="D42" s="616"/>
      <c r="E42" s="618" t="s">
        <v>326</v>
      </c>
      <c r="F42" s="619"/>
      <c r="G42" s="619"/>
      <c r="H42" s="618" t="s">
        <v>303</v>
      </c>
      <c r="I42" s="619"/>
      <c r="J42" s="620"/>
      <c r="K42" s="79"/>
      <c r="L42" s="79"/>
      <c r="M42" s="80"/>
      <c r="P42" s="126"/>
      <c r="S42" s="35"/>
      <c r="T42" s="35"/>
      <c r="U42" s="35"/>
      <c r="V42" s="35"/>
      <c r="W42" s="35"/>
      <c r="X42" s="35"/>
      <c r="Y42" s="35"/>
      <c r="Z42" s="35"/>
      <c r="AA42" s="35"/>
      <c r="AB42" s="35"/>
      <c r="AC42" s="35"/>
      <c r="AD42" s="35"/>
      <c r="AE42" s="35"/>
      <c r="AF42" s="35"/>
      <c r="AG42" s="35"/>
      <c r="AH42" s="35"/>
      <c r="AI42" s="35"/>
      <c r="AJ42" s="35"/>
      <c r="AM42" s="128"/>
      <c r="AP42" s="97"/>
      <c r="AT42" s="11"/>
      <c r="AY42" s="11"/>
      <c r="AZ42" s="11"/>
      <c r="BA42" s="11"/>
      <c r="BB42" s="11"/>
    </row>
    <row r="43" spans="1:54" x14ac:dyDescent="0.25">
      <c r="A43" s="128"/>
      <c r="B43" s="617"/>
      <c r="C43" s="616"/>
      <c r="D43" s="616"/>
      <c r="E43" s="621">
        <f ca="1">+E30</f>
        <v>0</v>
      </c>
      <c r="F43" s="660"/>
      <c r="G43" s="661"/>
      <c r="H43" s="653" t="e">
        <f ca="1">+O30*E30/D30</f>
        <v>#DIV/0!</v>
      </c>
      <c r="I43" s="650"/>
      <c r="J43" s="650"/>
      <c r="K43" s="11"/>
      <c r="L43" s="11"/>
      <c r="M43" s="11"/>
      <c r="P43" s="126"/>
      <c r="S43" s="35"/>
      <c r="T43" s="35"/>
      <c r="U43" s="35"/>
      <c r="V43" s="35"/>
      <c r="W43" s="35"/>
      <c r="X43" s="35"/>
      <c r="Y43" s="35"/>
      <c r="Z43" s="35"/>
      <c r="AA43" s="35"/>
      <c r="AB43" s="35"/>
      <c r="AC43" s="35"/>
      <c r="AD43" s="35"/>
      <c r="AE43" s="35"/>
      <c r="AF43" s="35"/>
      <c r="AG43" s="35"/>
      <c r="AH43" s="35"/>
      <c r="AI43" s="35"/>
      <c r="AJ43" s="35"/>
      <c r="AM43" s="135"/>
      <c r="AN43" s="88"/>
      <c r="AO43" s="11"/>
      <c r="AP43" s="99"/>
      <c r="AQ43" s="97"/>
      <c r="AR43" s="153"/>
      <c r="AT43" s="97"/>
      <c r="AY43" s="97"/>
      <c r="AZ43" s="97"/>
      <c r="BA43" s="97"/>
    </row>
    <row r="44" spans="1:54" ht="15.6" x14ac:dyDescent="0.25">
      <c r="A44" s="76"/>
      <c r="B44" s="629" t="s">
        <v>304</v>
      </c>
      <c r="C44" s="630"/>
      <c r="D44" s="630"/>
      <c r="E44" s="618" t="s">
        <v>327</v>
      </c>
      <c r="F44" s="619"/>
      <c r="G44" s="619"/>
      <c r="H44" s="618" t="s">
        <v>306</v>
      </c>
      <c r="I44" s="619"/>
      <c r="J44" s="620"/>
      <c r="K44" s="144"/>
      <c r="L44" s="144"/>
      <c r="M44" s="11"/>
      <c r="P44" s="126"/>
      <c r="S44" s="35"/>
      <c r="T44" s="35"/>
      <c r="U44" s="35"/>
      <c r="V44" s="35"/>
      <c r="W44" s="35"/>
      <c r="X44" s="35"/>
      <c r="Y44" s="35"/>
      <c r="Z44" s="35"/>
      <c r="AA44" s="35"/>
      <c r="AB44" s="35"/>
      <c r="AC44" s="35"/>
      <c r="AD44" s="35"/>
      <c r="AE44" s="35"/>
      <c r="AF44" s="35"/>
      <c r="AG44" s="35"/>
      <c r="AH44" s="35"/>
      <c r="AI44" s="35"/>
      <c r="AJ44" s="35"/>
      <c r="AM44" s="119"/>
      <c r="AN44" s="11"/>
      <c r="AP44" s="123"/>
      <c r="AQ44" s="11"/>
      <c r="AR44" s="123"/>
      <c r="AS44" s="123"/>
      <c r="AY44" s="97"/>
      <c r="AZ44" s="97"/>
      <c r="BA44" s="97"/>
    </row>
    <row r="45" spans="1:54" ht="13.8" thickBot="1" x14ac:dyDescent="0.3">
      <c r="A45" s="87"/>
      <c r="B45" s="631"/>
      <c r="C45" s="632"/>
      <c r="D45" s="632"/>
      <c r="E45" s="633">
        <f ca="1">+F30</f>
        <v>0</v>
      </c>
      <c r="F45" s="656"/>
      <c r="G45" s="657"/>
      <c r="H45" s="658" t="e">
        <f ca="1">+O30*F30/D30</f>
        <v>#DIV/0!</v>
      </c>
      <c r="I45" s="659"/>
      <c r="J45" s="659"/>
      <c r="K45" s="87"/>
      <c r="L45" s="87"/>
      <c r="M45" s="87"/>
      <c r="P45" s="126"/>
      <c r="S45" s="35"/>
      <c r="T45" s="35"/>
      <c r="U45" s="35"/>
      <c r="V45" s="35"/>
      <c r="W45" s="35"/>
      <c r="X45" s="35"/>
      <c r="Y45" s="35"/>
      <c r="Z45" s="35"/>
      <c r="AA45" s="35"/>
      <c r="AB45" s="35"/>
      <c r="AC45" s="35"/>
      <c r="AD45" s="35"/>
      <c r="AE45" s="35"/>
      <c r="AF45" s="35"/>
      <c r="AG45" s="35"/>
      <c r="AH45" s="35"/>
      <c r="AI45" s="35"/>
      <c r="AJ45" s="35"/>
      <c r="AM45" s="119"/>
      <c r="AN45" s="11"/>
      <c r="AP45" s="123"/>
      <c r="AQ45" s="11"/>
      <c r="AR45" s="123"/>
      <c r="AS45" s="123"/>
      <c r="AY45" s="97"/>
      <c r="AZ45" s="97"/>
      <c r="BA45" s="99"/>
    </row>
    <row r="46" spans="1:54" x14ac:dyDescent="0.25">
      <c r="A46" s="87"/>
      <c r="C46" s="76"/>
      <c r="D46" s="76"/>
      <c r="E46" s="76"/>
      <c r="F46" s="144"/>
      <c r="G46" s="76"/>
      <c r="H46" s="76"/>
      <c r="I46" s="144"/>
      <c r="K46" s="11"/>
      <c r="L46" s="11"/>
      <c r="M46" s="11"/>
      <c r="AM46" s="119"/>
      <c r="AN46" s="11"/>
      <c r="AP46" s="78"/>
      <c r="AQ46" s="11"/>
      <c r="AR46" s="123"/>
      <c r="AS46" s="123"/>
      <c r="AY46" s="11"/>
      <c r="AZ46" s="119"/>
      <c r="BA46" s="69"/>
    </row>
    <row r="47" spans="1:54" x14ac:dyDescent="0.25">
      <c r="A47" s="11"/>
      <c r="B47" s="11"/>
      <c r="C47" s="11"/>
      <c r="F47" s="11"/>
      <c r="G47" s="11"/>
      <c r="H47" s="11"/>
      <c r="I47" s="11"/>
      <c r="J47" s="11"/>
      <c r="K47" s="11"/>
      <c r="L47" s="11"/>
      <c r="M47" s="11"/>
    </row>
    <row r="48" spans="1:54" x14ac:dyDescent="0.25">
      <c r="A48" s="11"/>
      <c r="B48" s="11"/>
      <c r="C48" s="141"/>
      <c r="D48" s="154"/>
      <c r="E48" s="155"/>
      <c r="F48" s="141"/>
      <c r="G48" s="154"/>
      <c r="H48" s="155"/>
      <c r="I48" s="141"/>
      <c r="J48" s="154"/>
      <c r="K48" s="141"/>
      <c r="L48" s="154"/>
      <c r="M48" s="155"/>
    </row>
    <row r="49" spans="1:14" x14ac:dyDescent="0.25">
      <c r="A49" s="11"/>
      <c r="B49" s="11"/>
      <c r="C49" s="11"/>
      <c r="D49" s="11"/>
      <c r="E49" s="11"/>
      <c r="F49" s="11"/>
      <c r="G49" s="11"/>
      <c r="H49" s="11"/>
      <c r="I49" s="11"/>
      <c r="J49" s="11"/>
      <c r="K49" s="11"/>
      <c r="L49" s="11"/>
      <c r="M49" s="11"/>
    </row>
    <row r="50" spans="1:14" x14ac:dyDescent="0.25">
      <c r="C50" s="78"/>
      <c r="D50" s="78"/>
      <c r="E50" s="78"/>
      <c r="F50" s="78"/>
      <c r="G50" s="78"/>
      <c r="H50" s="78"/>
      <c r="I50" s="78"/>
      <c r="J50" s="78"/>
      <c r="K50" s="78"/>
      <c r="L50" s="78"/>
      <c r="M50" s="78"/>
    </row>
    <row r="51" spans="1:14" x14ac:dyDescent="0.25">
      <c r="A51" s="65"/>
      <c r="B51" s="65"/>
      <c r="C51" s="65"/>
      <c r="D51" s="137"/>
      <c r="E51" s="65"/>
      <c r="F51" s="65"/>
      <c r="G51" s="144"/>
      <c r="I51" s="65"/>
      <c r="J51" s="137"/>
      <c r="K51" s="65"/>
      <c r="L51" s="137"/>
      <c r="M51" s="11"/>
    </row>
    <row r="52" spans="1:14" x14ac:dyDescent="0.25">
      <c r="A52" s="148"/>
      <c r="C52" s="78"/>
      <c r="D52" s="78"/>
      <c r="E52" s="78"/>
      <c r="F52" s="78"/>
      <c r="G52" s="78"/>
      <c r="H52" s="78"/>
      <c r="I52" s="78"/>
      <c r="J52" s="78"/>
      <c r="K52" s="78"/>
      <c r="L52" s="78"/>
      <c r="M52" s="78"/>
    </row>
    <row r="53" spans="1:14" x14ac:dyDescent="0.25">
      <c r="A53" s="148"/>
      <c r="C53" s="78"/>
      <c r="D53" s="78"/>
      <c r="E53" s="78"/>
      <c r="F53" s="78"/>
      <c r="G53" s="78"/>
      <c r="H53" s="78"/>
      <c r="I53" s="78"/>
      <c r="J53" s="78"/>
      <c r="K53" s="78"/>
      <c r="L53" s="78"/>
      <c r="M53" s="78"/>
    </row>
    <row r="54" spans="1:14" x14ac:dyDescent="0.25">
      <c r="A54" s="135"/>
      <c r="C54" s="78"/>
      <c r="D54" s="78"/>
      <c r="E54" s="78"/>
      <c r="F54" s="78"/>
      <c r="G54" s="78"/>
      <c r="H54" s="78"/>
      <c r="I54" s="78"/>
      <c r="J54" s="78"/>
      <c r="K54" s="78"/>
      <c r="L54" s="78"/>
      <c r="M54" s="78"/>
    </row>
    <row r="55" spans="1:14" x14ac:dyDescent="0.25">
      <c r="A55" s="148"/>
      <c r="C55" s="78"/>
      <c r="D55" s="78"/>
      <c r="E55" s="78"/>
      <c r="F55" s="78"/>
      <c r="G55" s="78"/>
      <c r="H55" s="78"/>
      <c r="I55" s="78"/>
      <c r="J55" s="78"/>
      <c r="K55" s="78"/>
      <c r="L55" s="78"/>
      <c r="M55" s="78"/>
    </row>
    <row r="56" spans="1:14" x14ac:dyDescent="0.25">
      <c r="A56" s="148"/>
      <c r="C56" s="78"/>
      <c r="D56" s="78"/>
      <c r="E56" s="78"/>
      <c r="F56" s="78"/>
      <c r="G56" s="78"/>
      <c r="H56" s="78"/>
      <c r="I56" s="78"/>
      <c r="J56" s="78"/>
      <c r="K56" s="78"/>
      <c r="L56" s="78"/>
      <c r="M56" s="78"/>
    </row>
    <row r="57" spans="1:14" x14ac:dyDescent="0.25">
      <c r="A57" s="148"/>
      <c r="C57" s="78"/>
      <c r="D57" s="78"/>
      <c r="E57" s="78"/>
      <c r="F57" s="78"/>
      <c r="G57" s="78"/>
      <c r="H57" s="78"/>
      <c r="I57" s="78"/>
      <c r="J57" s="78"/>
      <c r="K57" s="78"/>
      <c r="L57" s="78"/>
      <c r="M57" s="78"/>
    </row>
    <row r="58" spans="1:14" x14ac:dyDescent="0.25">
      <c r="A58" s="124"/>
      <c r="B58" s="88"/>
      <c r="C58" s="88"/>
      <c r="D58" s="88"/>
      <c r="E58" s="88"/>
      <c r="F58" s="88"/>
      <c r="G58" s="88"/>
      <c r="H58" s="88"/>
      <c r="I58" s="88"/>
      <c r="J58" s="88"/>
      <c r="K58" s="88"/>
      <c r="L58" s="88"/>
      <c r="M58" s="88"/>
      <c r="N58" s="88"/>
    </row>
    <row r="59" spans="1:14" x14ac:dyDescent="0.25">
      <c r="C59" s="78"/>
      <c r="D59" s="78"/>
      <c r="E59" s="78"/>
      <c r="F59" s="78"/>
      <c r="G59" s="11"/>
      <c r="H59" s="78"/>
      <c r="I59" s="78"/>
      <c r="J59" s="78"/>
      <c r="K59" s="11"/>
      <c r="L59" s="78"/>
      <c r="M59" s="78"/>
    </row>
    <row r="60" spans="1:14" x14ac:dyDescent="0.25">
      <c r="A60" s="97"/>
      <c r="B60" s="11"/>
      <c r="C60" s="11"/>
      <c r="D60" s="11"/>
      <c r="E60" s="11"/>
      <c r="F60" s="11"/>
      <c r="G60" s="11"/>
    </row>
    <row r="62" spans="1:14" x14ac:dyDescent="0.25">
      <c r="A62" s="128"/>
      <c r="B62" s="128"/>
      <c r="C62" s="128"/>
      <c r="D62" s="128"/>
      <c r="E62" s="128"/>
      <c r="F62" s="128"/>
      <c r="G62" s="128"/>
      <c r="H62" s="128"/>
      <c r="I62" s="128"/>
      <c r="J62" s="128"/>
      <c r="K62" s="128"/>
      <c r="L62" s="128"/>
      <c r="M62" s="128"/>
    </row>
    <row r="63" spans="1:14" x14ac:dyDescent="0.25">
      <c r="A63" s="76"/>
      <c r="B63" s="76"/>
      <c r="C63" s="76"/>
      <c r="E63" s="144"/>
      <c r="F63" s="11"/>
      <c r="G63" s="11"/>
      <c r="H63" s="11"/>
      <c r="I63" s="144"/>
      <c r="J63" s="11"/>
      <c r="K63" s="11"/>
      <c r="L63" s="11"/>
      <c r="M63" s="11"/>
    </row>
    <row r="64" spans="1:14" x14ac:dyDescent="0.25">
      <c r="A64" s="87"/>
      <c r="B64" s="87"/>
      <c r="C64" s="87"/>
      <c r="D64" s="87"/>
      <c r="E64" s="97"/>
      <c r="F64" s="97"/>
      <c r="G64" s="97"/>
      <c r="H64" s="97"/>
      <c r="I64" s="97"/>
      <c r="J64" s="97"/>
      <c r="K64" s="97"/>
      <c r="L64" s="97"/>
      <c r="M64" s="97"/>
    </row>
    <row r="65" spans="1:14" x14ac:dyDescent="0.25">
      <c r="A65" s="131"/>
      <c r="B65" s="131"/>
      <c r="C65" s="131"/>
      <c r="D65" s="131"/>
      <c r="E65" s="144"/>
      <c r="I65" s="144"/>
      <c r="J65" s="76"/>
      <c r="K65" s="76"/>
    </row>
    <row r="66" spans="1:14" x14ac:dyDescent="0.25">
      <c r="A66" s="88"/>
      <c r="B66" s="88"/>
      <c r="C66" s="88"/>
      <c r="E66" s="78"/>
      <c r="F66" s="11"/>
      <c r="G66" s="11"/>
      <c r="H66" s="11"/>
      <c r="I66" s="35"/>
      <c r="J66" s="35"/>
      <c r="K66" s="35"/>
      <c r="L66" s="35"/>
      <c r="M66" s="35"/>
    </row>
    <row r="67" spans="1:14" x14ac:dyDescent="0.25">
      <c r="A67" s="88"/>
      <c r="B67" s="88"/>
      <c r="C67" s="88"/>
      <c r="E67" s="78"/>
      <c r="F67" s="11"/>
      <c r="G67" s="11"/>
      <c r="H67" s="11"/>
      <c r="I67" s="35"/>
      <c r="J67" s="35"/>
      <c r="K67" s="35"/>
      <c r="L67" s="35"/>
      <c r="M67" s="35"/>
    </row>
    <row r="68" spans="1:14" x14ac:dyDescent="0.25">
      <c r="A68" s="135"/>
      <c r="B68" s="88"/>
      <c r="C68" s="88"/>
      <c r="E68" s="78"/>
      <c r="F68" s="11"/>
      <c r="G68" s="11"/>
      <c r="H68" s="11"/>
      <c r="I68" s="35"/>
      <c r="J68" s="35"/>
      <c r="K68" s="35"/>
      <c r="L68" s="35"/>
      <c r="M68" s="35"/>
    </row>
    <row r="69" spans="1:14" x14ac:dyDescent="0.25">
      <c r="A69" s="88"/>
      <c r="B69" s="88"/>
      <c r="C69" s="88"/>
      <c r="E69" s="78"/>
      <c r="F69" s="11"/>
      <c r="G69" s="11"/>
      <c r="H69" s="11"/>
      <c r="I69" s="35"/>
      <c r="J69" s="35"/>
      <c r="K69" s="35"/>
      <c r="L69" s="35"/>
      <c r="M69" s="35"/>
    </row>
    <row r="70" spans="1:14" x14ac:dyDescent="0.25">
      <c r="A70" s="124"/>
      <c r="B70" s="88"/>
      <c r="C70" s="88"/>
      <c r="D70" s="88"/>
      <c r="E70" s="88"/>
      <c r="F70" s="88"/>
      <c r="G70" s="88"/>
      <c r="H70" s="88"/>
      <c r="I70" s="88"/>
      <c r="J70" s="88"/>
      <c r="K70" s="88"/>
      <c r="L70" s="88"/>
      <c r="M70" s="88"/>
      <c r="N70" s="88"/>
    </row>
    <row r="75" spans="1:14" x14ac:dyDescent="0.25">
      <c r="A75" s="76"/>
      <c r="B75" s="76"/>
      <c r="C75" s="76"/>
      <c r="D75" s="76"/>
      <c r="E75" s="76"/>
      <c r="F75" s="76"/>
      <c r="G75" s="76"/>
      <c r="H75" s="76"/>
      <c r="I75" s="76"/>
      <c r="J75" s="76"/>
      <c r="K75" s="76"/>
      <c r="L75" s="76"/>
      <c r="M75" s="76"/>
    </row>
    <row r="76" spans="1:14" x14ac:dyDescent="0.25">
      <c r="A76" s="86"/>
      <c r="B76" s="86"/>
      <c r="C76" s="86"/>
      <c r="D76" s="87"/>
      <c r="E76" s="87"/>
      <c r="F76" s="87"/>
      <c r="G76" s="87"/>
      <c r="I76" s="87"/>
      <c r="J76" s="87"/>
      <c r="K76" s="87"/>
      <c r="L76" s="87"/>
      <c r="M76" s="87"/>
    </row>
    <row r="77" spans="1:14" x14ac:dyDescent="0.25">
      <c r="A77" s="86"/>
      <c r="B77" s="86"/>
      <c r="C77" s="86"/>
      <c r="D77" s="76"/>
      <c r="G77" s="76"/>
      <c r="H77" s="76"/>
      <c r="I77" s="76"/>
      <c r="J77" s="87"/>
      <c r="K77" s="87"/>
      <c r="L77" s="76"/>
      <c r="M77" s="76"/>
    </row>
    <row r="78" spans="1:14" x14ac:dyDescent="0.25">
      <c r="A78" s="88"/>
      <c r="B78" s="88"/>
      <c r="C78" s="88"/>
      <c r="D78" s="78"/>
      <c r="E78" s="11"/>
      <c r="F78" s="11"/>
      <c r="G78" s="78"/>
      <c r="H78" s="11"/>
      <c r="I78" s="11"/>
      <c r="J78" s="11"/>
      <c r="K78" s="11"/>
      <c r="L78" s="35"/>
      <c r="M78" s="35"/>
    </row>
    <row r="79" spans="1:14" x14ac:dyDescent="0.25">
      <c r="A79" s="88"/>
      <c r="B79" s="88"/>
      <c r="C79" s="88"/>
      <c r="D79" s="78"/>
      <c r="E79" s="11"/>
      <c r="F79" s="11"/>
      <c r="G79" s="78"/>
      <c r="H79" s="11"/>
      <c r="I79" s="11"/>
      <c r="J79" s="11"/>
      <c r="K79" s="11"/>
      <c r="L79" s="35"/>
      <c r="M79" s="35"/>
    </row>
    <row r="80" spans="1:14" x14ac:dyDescent="0.25">
      <c r="A80" s="88"/>
      <c r="B80" s="88"/>
      <c r="C80" s="88"/>
      <c r="D80" s="78"/>
      <c r="E80" s="11"/>
      <c r="F80" s="11"/>
      <c r="G80" s="78"/>
      <c r="H80" s="11"/>
      <c r="I80" s="11"/>
      <c r="J80" s="11"/>
      <c r="K80" s="11"/>
      <c r="L80" s="35"/>
      <c r="M80" s="35"/>
    </row>
  </sheetData>
  <mergeCells count="66">
    <mergeCell ref="H43:J43"/>
    <mergeCell ref="B19:C19"/>
    <mergeCell ref="E38:G38"/>
    <mergeCell ref="B44:D45"/>
    <mergeCell ref="E44:G44"/>
    <mergeCell ref="H44:J44"/>
    <mergeCell ref="E45:G45"/>
    <mergeCell ref="H45:J45"/>
    <mergeCell ref="B42:D43"/>
    <mergeCell ref="E42:G42"/>
    <mergeCell ref="H42:J42"/>
    <mergeCell ref="E43:G43"/>
    <mergeCell ref="B39:D39"/>
    <mergeCell ref="E39:G39"/>
    <mergeCell ref="H39:J39"/>
    <mergeCell ref="B40:D41"/>
    <mergeCell ref="E40:G40"/>
    <mergeCell ref="H40:J40"/>
    <mergeCell ref="E41:G41"/>
    <mergeCell ref="H41:J41"/>
    <mergeCell ref="B30:C30"/>
    <mergeCell ref="B36:J37"/>
    <mergeCell ref="B29:C29"/>
    <mergeCell ref="H38:J38"/>
    <mergeCell ref="B20:O20"/>
    <mergeCell ref="B21:C21"/>
    <mergeCell ref="B22:C22"/>
    <mergeCell ref="B23:C23"/>
    <mergeCell ref="B28:C28"/>
    <mergeCell ref="B38:D38"/>
    <mergeCell ref="B24:C24"/>
    <mergeCell ref="B25:C25"/>
    <mergeCell ref="B26:C26"/>
    <mergeCell ref="B27:C27"/>
    <mergeCell ref="B13:C13"/>
    <mergeCell ref="B14:C14"/>
    <mergeCell ref="B15:C15"/>
    <mergeCell ref="B16:C16"/>
    <mergeCell ref="B18:C18"/>
    <mergeCell ref="B17:C17"/>
    <mergeCell ref="B12:C12"/>
    <mergeCell ref="M6:M7"/>
    <mergeCell ref="N6:N7"/>
    <mergeCell ref="O6:O7"/>
    <mergeCell ref="D8:D9"/>
    <mergeCell ref="E8:E9"/>
    <mergeCell ref="F8:F9"/>
    <mergeCell ref="I8:I9"/>
    <mergeCell ref="J8:J9"/>
    <mergeCell ref="K8:K9"/>
    <mergeCell ref="L8:L9"/>
    <mergeCell ref="M8:M9"/>
    <mergeCell ref="N8:N9"/>
    <mergeCell ref="O8:O9"/>
    <mergeCell ref="B10:O10"/>
    <mergeCell ref="B11:C11"/>
    <mergeCell ref="B3:O4"/>
    <mergeCell ref="B5:C5"/>
    <mergeCell ref="B6:C9"/>
    <mergeCell ref="D6:F7"/>
    <mergeCell ref="G6:G9"/>
    <mergeCell ref="H6:H9"/>
    <mergeCell ref="I6:I7"/>
    <mergeCell ref="J6:J7"/>
    <mergeCell ref="K6:K7"/>
    <mergeCell ref="L6:L7"/>
  </mergeCells>
  <dataValidations count="1">
    <dataValidation type="list" allowBlank="1" showInputMessage="1" showErrorMessage="1" sqref="AO43" xr:uid="{00000000-0002-0000-0400-000000000000}">
      <formula1>Local</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B2:AA50"/>
  <sheetViews>
    <sheetView workbookViewId="0"/>
  </sheetViews>
  <sheetFormatPr defaultRowHeight="13.2" x14ac:dyDescent="0.25"/>
  <cols>
    <col min="2" max="13" width="13.6640625" customWidth="1"/>
    <col min="15" max="15" width="9.109375" style="118" customWidth="1"/>
    <col min="16" max="16" width="13.6640625" customWidth="1"/>
    <col min="18" max="27" width="13.6640625" customWidth="1"/>
  </cols>
  <sheetData>
    <row r="2" spans="2:27" x14ac:dyDescent="0.25">
      <c r="B2" s="114" t="s">
        <v>328</v>
      </c>
      <c r="R2" s="114" t="s">
        <v>329</v>
      </c>
    </row>
    <row r="4" spans="2:27" ht="13.8" thickBot="1" x14ac:dyDescent="0.3">
      <c r="B4" s="14"/>
      <c r="E4" s="11"/>
      <c r="K4" s="15"/>
    </row>
    <row r="5" spans="2:27" ht="13.8" thickTop="1" x14ac:dyDescent="0.25">
      <c r="B5" s="707" t="s">
        <v>346</v>
      </c>
      <c r="C5" s="707"/>
      <c r="D5" s="707"/>
      <c r="E5" s="707"/>
      <c r="F5" s="707"/>
      <c r="G5" s="707"/>
      <c r="H5" s="707"/>
      <c r="I5" s="707"/>
      <c r="J5" s="707"/>
      <c r="K5" s="15"/>
      <c r="R5" s="272" t="s">
        <v>355</v>
      </c>
      <c r="S5" s="272"/>
      <c r="T5" s="272"/>
      <c r="U5" s="272"/>
      <c r="V5" s="272"/>
      <c r="W5" s="272"/>
      <c r="X5" s="272"/>
      <c r="Y5" s="272"/>
      <c r="Z5" s="272"/>
      <c r="AA5" s="272"/>
    </row>
    <row r="6" spans="2:27" ht="13.8" thickBot="1" x14ac:dyDescent="0.3">
      <c r="B6" s="273"/>
      <c r="C6" s="273"/>
      <c r="D6" s="273"/>
      <c r="E6" s="273"/>
      <c r="F6" s="273"/>
      <c r="G6" s="273"/>
      <c r="H6" s="273"/>
      <c r="I6" s="273"/>
      <c r="J6" s="273"/>
      <c r="K6" s="15"/>
      <c r="R6" s="273"/>
      <c r="S6" s="273"/>
      <c r="T6" s="273"/>
      <c r="U6" s="273"/>
      <c r="V6" s="273"/>
      <c r="W6" s="273"/>
      <c r="X6" s="273"/>
      <c r="Y6" s="273"/>
      <c r="Z6" s="273"/>
      <c r="AA6" s="273"/>
    </row>
    <row r="7" spans="2:27" x14ac:dyDescent="0.25">
      <c r="B7" s="712" t="s">
        <v>121</v>
      </c>
      <c r="C7" s="713"/>
      <c r="D7" s="713"/>
      <c r="E7" s="733" t="s">
        <v>145</v>
      </c>
      <c r="F7" s="733"/>
      <c r="G7" s="733"/>
      <c r="H7" s="733"/>
      <c r="I7" s="733"/>
      <c r="J7" s="734"/>
      <c r="R7" s="662" t="s">
        <v>131</v>
      </c>
      <c r="S7" s="278" t="s">
        <v>9</v>
      </c>
      <c r="T7" s="278"/>
      <c r="U7" s="278"/>
      <c r="V7" s="278"/>
      <c r="W7" s="278"/>
      <c r="X7" s="278"/>
      <c r="Y7" s="278"/>
      <c r="Z7" s="278"/>
      <c r="AA7" s="279"/>
    </row>
    <row r="8" spans="2:27" x14ac:dyDescent="0.25">
      <c r="B8" s="728" t="s">
        <v>203</v>
      </c>
      <c r="C8" s="282"/>
      <c r="D8" s="158" t="s">
        <v>202</v>
      </c>
      <c r="E8" s="714" t="s">
        <v>146</v>
      </c>
      <c r="F8" s="714"/>
      <c r="G8" s="714"/>
      <c r="H8" s="536" t="s">
        <v>378</v>
      </c>
      <c r="I8" s="536"/>
      <c r="J8" s="737"/>
      <c r="R8" s="663"/>
      <c r="S8" s="20">
        <v>0</v>
      </c>
      <c r="T8" s="20">
        <v>1</v>
      </c>
      <c r="U8" s="20">
        <v>2</v>
      </c>
      <c r="V8" s="20">
        <v>3</v>
      </c>
      <c r="W8" s="20">
        <v>4</v>
      </c>
      <c r="X8" s="20">
        <v>5</v>
      </c>
      <c r="Y8" s="20">
        <v>6</v>
      </c>
      <c r="Z8" s="20">
        <v>7</v>
      </c>
      <c r="AA8" s="43">
        <v>8</v>
      </c>
    </row>
    <row r="9" spans="2:27" x14ac:dyDescent="0.25">
      <c r="B9" s="724" t="s">
        <v>138</v>
      </c>
      <c r="C9" s="725"/>
      <c r="D9" s="725"/>
      <c r="E9" s="738">
        <v>1.3</v>
      </c>
      <c r="F9" s="738"/>
      <c r="G9" s="738"/>
      <c r="H9" s="739">
        <v>3.1</v>
      </c>
      <c r="I9" s="739"/>
      <c r="J9" s="740"/>
      <c r="R9" s="59" t="s">
        <v>160</v>
      </c>
      <c r="S9" s="44">
        <v>1</v>
      </c>
      <c r="T9" s="44">
        <v>1</v>
      </c>
      <c r="U9" s="44">
        <v>1</v>
      </c>
      <c r="V9" s="44">
        <v>1</v>
      </c>
      <c r="W9" s="44">
        <v>1</v>
      </c>
      <c r="X9" s="44">
        <f>+(W9+Y9)/2</f>
        <v>1</v>
      </c>
      <c r="Y9" s="44">
        <v>1</v>
      </c>
      <c r="Z9" s="44">
        <f>+(Y9+AA9)/2</f>
        <v>1</v>
      </c>
      <c r="AA9" s="45">
        <v>1</v>
      </c>
    </row>
    <row r="10" spans="2:27" x14ac:dyDescent="0.25">
      <c r="B10" s="724" t="s">
        <v>139</v>
      </c>
      <c r="C10" s="725"/>
      <c r="D10" s="725"/>
      <c r="E10" s="729">
        <v>5.4</v>
      </c>
      <c r="F10" s="729"/>
      <c r="G10" s="729"/>
      <c r="H10" s="739">
        <v>7.7</v>
      </c>
      <c r="I10" s="739"/>
      <c r="J10" s="740"/>
      <c r="R10" s="59" t="s">
        <v>161</v>
      </c>
      <c r="S10" s="44">
        <v>1</v>
      </c>
      <c r="T10" s="44">
        <v>1</v>
      </c>
      <c r="U10" s="44">
        <v>1.01</v>
      </c>
      <c r="V10" s="44">
        <v>1.01</v>
      </c>
      <c r="W10" s="44">
        <v>1.01</v>
      </c>
      <c r="X10" s="44">
        <f>+(W10+Y10)/2</f>
        <v>1.0150000000000001</v>
      </c>
      <c r="Y10" s="44">
        <v>1.02</v>
      </c>
      <c r="Z10" s="44">
        <f>+(Y10+AA10)/2</f>
        <v>1.02</v>
      </c>
      <c r="AA10" s="45">
        <v>1.02</v>
      </c>
    </row>
    <row r="11" spans="2:27" x14ac:dyDescent="0.25">
      <c r="B11" s="724" t="s">
        <v>140</v>
      </c>
      <c r="C11" s="725"/>
      <c r="D11" s="725"/>
      <c r="E11" s="729">
        <v>10.9</v>
      </c>
      <c r="F11" s="729"/>
      <c r="G11" s="729"/>
      <c r="H11" s="739">
        <v>25.2</v>
      </c>
      <c r="I11" s="739"/>
      <c r="J11" s="740"/>
      <c r="R11" s="59" t="s">
        <v>162</v>
      </c>
      <c r="S11" s="44">
        <v>1</v>
      </c>
      <c r="T11" s="44">
        <v>1.01</v>
      </c>
      <c r="U11" s="44">
        <v>1.02</v>
      </c>
      <c r="V11" s="44">
        <v>1.02</v>
      </c>
      <c r="W11" s="44">
        <v>1.03</v>
      </c>
      <c r="X11" s="44">
        <f>+(W11+Y11)/2</f>
        <v>1.0350000000000001</v>
      </c>
      <c r="Y11" s="44">
        <v>1.04</v>
      </c>
      <c r="Z11" s="44">
        <f>+(Y11+AA11)/2</f>
        <v>1.05</v>
      </c>
      <c r="AA11" s="45">
        <v>1.06</v>
      </c>
    </row>
    <row r="12" spans="2:27" ht="13.8" thickBot="1" x14ac:dyDescent="0.3">
      <c r="B12" s="693" t="s">
        <v>141</v>
      </c>
      <c r="C12" s="694"/>
      <c r="D12" s="694"/>
      <c r="E12" s="727">
        <v>14.5</v>
      </c>
      <c r="F12" s="727"/>
      <c r="G12" s="727"/>
      <c r="H12" s="735">
        <v>18</v>
      </c>
      <c r="I12" s="735"/>
      <c r="J12" s="736"/>
      <c r="R12" s="61" t="s">
        <v>163</v>
      </c>
      <c r="S12" s="46">
        <v>1</v>
      </c>
      <c r="T12" s="46">
        <v>1.01</v>
      </c>
      <c r="U12" s="46">
        <v>1.03</v>
      </c>
      <c r="V12" s="46">
        <v>1.04</v>
      </c>
      <c r="W12" s="46">
        <v>1.05</v>
      </c>
      <c r="X12" s="44">
        <f>+(W12+Y12)/2</f>
        <v>1.0649999999999999</v>
      </c>
      <c r="Y12" s="46">
        <v>1.08</v>
      </c>
      <c r="Z12" s="44">
        <f>+(Y12+AA12)/2</f>
        <v>1.0950000000000002</v>
      </c>
      <c r="AA12" s="47">
        <v>1.1100000000000001</v>
      </c>
    </row>
    <row r="13" spans="2:27" ht="13.8" thickTop="1" x14ac:dyDescent="0.25">
      <c r="B13" s="691" t="s">
        <v>142</v>
      </c>
      <c r="C13" s="692"/>
      <c r="D13" s="692"/>
      <c r="E13" s="726">
        <f>SUM(E9:E12)</f>
        <v>32.1</v>
      </c>
      <c r="F13" s="726"/>
      <c r="G13" s="726"/>
      <c r="H13" s="726">
        <f>SUM(H9:H12)</f>
        <v>54</v>
      </c>
      <c r="I13" s="726"/>
      <c r="J13" s="730"/>
      <c r="R13" s="664" t="s">
        <v>199</v>
      </c>
      <c r="S13" s="665"/>
      <c r="T13" s="665"/>
      <c r="U13" s="665"/>
      <c r="V13" s="665"/>
      <c r="W13" s="665"/>
      <c r="X13" s="665"/>
      <c r="Y13" s="665"/>
      <c r="Z13" s="665"/>
      <c r="AA13" s="665"/>
    </row>
    <row r="14" spans="2:27" ht="13.8" thickBot="1" x14ac:dyDescent="0.3">
      <c r="B14" s="693" t="s">
        <v>143</v>
      </c>
      <c r="C14" s="694"/>
      <c r="D14" s="694"/>
      <c r="E14" s="727">
        <f>100-E13</f>
        <v>67.900000000000006</v>
      </c>
      <c r="F14" s="727"/>
      <c r="G14" s="727"/>
      <c r="H14" s="727">
        <f>100-H13</f>
        <v>46</v>
      </c>
      <c r="I14" s="727"/>
      <c r="J14" s="731"/>
      <c r="R14" s="666"/>
      <c r="S14" s="666"/>
      <c r="T14" s="666"/>
      <c r="U14" s="666"/>
      <c r="V14" s="666"/>
      <c r="W14" s="666"/>
      <c r="X14" s="666"/>
      <c r="Y14" s="666"/>
      <c r="Z14" s="666"/>
      <c r="AA14" s="666"/>
    </row>
    <row r="15" spans="2:27" ht="14.4" thickTop="1" thickBot="1" x14ac:dyDescent="0.3">
      <c r="B15" s="704" t="s">
        <v>144</v>
      </c>
      <c r="C15" s="705"/>
      <c r="D15" s="705"/>
      <c r="E15" s="709">
        <f>SUM(E13:E14)</f>
        <v>100</v>
      </c>
      <c r="F15" s="709"/>
      <c r="G15" s="709"/>
      <c r="H15" s="709">
        <f>SUM(H13:H14)</f>
        <v>100</v>
      </c>
      <c r="I15" s="709"/>
      <c r="J15" s="732"/>
    </row>
    <row r="16" spans="2:27" x14ac:dyDescent="0.25">
      <c r="B16" s="187" t="s">
        <v>349</v>
      </c>
      <c r="C16" s="16"/>
      <c r="D16" s="16"/>
      <c r="E16" s="16"/>
      <c r="F16" s="16"/>
    </row>
    <row r="17" spans="2:12" ht="13.8" thickBot="1" x14ac:dyDescent="0.3">
      <c r="B17" s="16"/>
      <c r="C17" s="16"/>
      <c r="D17" s="16"/>
      <c r="E17" s="16"/>
      <c r="F17" s="16"/>
    </row>
    <row r="18" spans="2:12" ht="13.8" thickTop="1" x14ac:dyDescent="0.25">
      <c r="B18" s="706" t="s">
        <v>347</v>
      </c>
      <c r="C18" s="707"/>
      <c r="D18" s="707"/>
      <c r="E18" s="707"/>
      <c r="F18" s="707"/>
      <c r="G18" s="707"/>
      <c r="H18" s="707"/>
      <c r="I18" s="707"/>
      <c r="J18" s="707"/>
      <c r="K18" s="707"/>
      <c r="L18" s="707"/>
    </row>
    <row r="19" spans="2:12" ht="13.8" thickBot="1" x14ac:dyDescent="0.3">
      <c r="B19" s="708"/>
      <c r="C19" s="708"/>
      <c r="D19" s="708"/>
      <c r="E19" s="708"/>
      <c r="F19" s="708"/>
      <c r="G19" s="708"/>
      <c r="H19" s="708"/>
      <c r="I19" s="708"/>
      <c r="J19" s="708"/>
      <c r="K19" s="708"/>
      <c r="L19" s="708"/>
    </row>
    <row r="20" spans="2:12" x14ac:dyDescent="0.25">
      <c r="B20" s="16"/>
      <c r="C20" s="16"/>
      <c r="D20" s="16"/>
      <c r="E20" s="715" t="s">
        <v>155</v>
      </c>
      <c r="F20" s="715"/>
      <c r="G20" s="715"/>
      <c r="H20" s="715"/>
      <c r="I20" s="715"/>
      <c r="J20" s="715"/>
      <c r="K20" s="715"/>
      <c r="L20" s="715"/>
    </row>
    <row r="21" spans="2:12" x14ac:dyDescent="0.25">
      <c r="E21" s="719" t="s">
        <v>146</v>
      </c>
      <c r="F21" s="720"/>
      <c r="G21" s="720"/>
      <c r="H21" s="721"/>
      <c r="I21" s="719" t="s">
        <v>378</v>
      </c>
      <c r="J21" s="720"/>
      <c r="K21" s="720"/>
      <c r="L21" s="720"/>
    </row>
    <row r="22" spans="2:12" x14ac:dyDescent="0.25">
      <c r="B22" s="66" t="s">
        <v>148</v>
      </c>
      <c r="C22" s="8"/>
      <c r="E22" s="673" t="s">
        <v>154</v>
      </c>
      <c r="F22" s="716" t="s">
        <v>156</v>
      </c>
      <c r="G22" s="716" t="s">
        <v>157</v>
      </c>
      <c r="H22" s="717"/>
      <c r="I22" s="722" t="s">
        <v>154</v>
      </c>
      <c r="J22" s="722" t="s">
        <v>156</v>
      </c>
      <c r="K22" s="722" t="s">
        <v>157</v>
      </c>
      <c r="L22" s="723"/>
    </row>
    <row r="23" spans="2:12" x14ac:dyDescent="0.25">
      <c r="B23" s="671" t="s">
        <v>203</v>
      </c>
      <c r="C23" s="672"/>
      <c r="D23" s="166" t="s">
        <v>202</v>
      </c>
      <c r="E23" s="673"/>
      <c r="F23" s="716"/>
      <c r="G23" s="718"/>
      <c r="H23" s="717"/>
      <c r="I23" s="722"/>
      <c r="J23" s="722"/>
      <c r="K23" s="723"/>
      <c r="L23" s="723"/>
    </row>
    <row r="24" spans="2:12" x14ac:dyDescent="0.25">
      <c r="B24" s="23" t="s">
        <v>149</v>
      </c>
      <c r="C24" s="24"/>
      <c r="D24" s="24"/>
      <c r="E24" s="25"/>
      <c r="F24" s="24"/>
      <c r="G24" s="281"/>
      <c r="H24" s="696"/>
      <c r="I24" s="24"/>
      <c r="J24" s="24"/>
      <c r="K24" s="299"/>
      <c r="L24" s="299"/>
    </row>
    <row r="25" spans="2:12" x14ac:dyDescent="0.25">
      <c r="B25" s="26" t="s">
        <v>107</v>
      </c>
      <c r="C25" s="8"/>
      <c r="D25" s="8"/>
      <c r="E25" s="27">
        <v>3.8</v>
      </c>
      <c r="F25" s="28">
        <v>18.399999999999999</v>
      </c>
      <c r="G25" s="697">
        <v>12.1</v>
      </c>
      <c r="H25" s="698"/>
      <c r="I25" s="167">
        <v>3.1</v>
      </c>
      <c r="J25" s="167">
        <v>12</v>
      </c>
      <c r="K25" s="669">
        <v>7.2</v>
      </c>
      <c r="L25" s="669"/>
    </row>
    <row r="26" spans="2:12" x14ac:dyDescent="0.25">
      <c r="B26" s="26" t="s">
        <v>108</v>
      </c>
      <c r="C26" s="8"/>
      <c r="D26" s="8"/>
      <c r="E26" s="27">
        <v>0.4</v>
      </c>
      <c r="F26" s="28">
        <v>0.1</v>
      </c>
      <c r="G26" s="697">
        <v>0.2</v>
      </c>
      <c r="H26" s="698"/>
      <c r="I26" s="167">
        <v>0.6</v>
      </c>
      <c r="J26" s="167">
        <v>0</v>
      </c>
      <c r="K26" s="669">
        <v>0.3</v>
      </c>
      <c r="L26" s="669"/>
    </row>
    <row r="27" spans="2:12" x14ac:dyDescent="0.25">
      <c r="B27" s="26" t="s">
        <v>109</v>
      </c>
      <c r="C27" s="8"/>
      <c r="D27" s="8"/>
      <c r="E27" s="27">
        <v>0.7</v>
      </c>
      <c r="F27" s="28">
        <v>0.1</v>
      </c>
      <c r="G27" s="697">
        <v>0.3</v>
      </c>
      <c r="H27" s="698"/>
      <c r="I27" s="167">
        <v>0.8</v>
      </c>
      <c r="J27" s="167">
        <v>0</v>
      </c>
      <c r="K27" s="669">
        <v>0.4</v>
      </c>
      <c r="L27" s="669"/>
    </row>
    <row r="28" spans="2:12" x14ac:dyDescent="0.25">
      <c r="B28" s="26" t="s">
        <v>110</v>
      </c>
      <c r="C28" s="8"/>
      <c r="D28" s="8"/>
      <c r="E28" s="27">
        <v>3.7</v>
      </c>
      <c r="F28" s="11">
        <v>1.5</v>
      </c>
      <c r="G28" s="699">
        <v>2.5</v>
      </c>
      <c r="H28" s="698"/>
      <c r="I28" s="167">
        <v>8.6</v>
      </c>
      <c r="J28" s="167">
        <v>3.8</v>
      </c>
      <c r="K28" s="669">
        <v>6.4</v>
      </c>
      <c r="L28" s="669"/>
    </row>
    <row r="29" spans="2:12" x14ac:dyDescent="0.25">
      <c r="B29" s="26" t="s">
        <v>111</v>
      </c>
      <c r="C29" s="8"/>
      <c r="D29" s="8"/>
      <c r="E29" s="27">
        <v>54.5</v>
      </c>
      <c r="F29" s="11">
        <v>50.5</v>
      </c>
      <c r="G29" s="699">
        <v>52.1</v>
      </c>
      <c r="H29" s="698"/>
      <c r="I29" s="167">
        <v>47.2</v>
      </c>
      <c r="J29" s="167">
        <v>39.1</v>
      </c>
      <c r="K29" s="669">
        <v>43.5</v>
      </c>
      <c r="L29" s="669"/>
    </row>
    <row r="30" spans="2:12" x14ac:dyDescent="0.25">
      <c r="B30" s="26" t="s">
        <v>150</v>
      </c>
      <c r="C30" s="8"/>
      <c r="D30" s="8"/>
      <c r="E30" s="27">
        <v>0.7</v>
      </c>
      <c r="F30" s="11">
        <v>2.9</v>
      </c>
      <c r="G30" s="699">
        <v>2.1</v>
      </c>
      <c r="H30" s="698"/>
      <c r="I30" s="167">
        <v>1.7</v>
      </c>
      <c r="J30" s="167">
        <v>1.3</v>
      </c>
      <c r="K30" s="669">
        <v>1.5</v>
      </c>
      <c r="L30" s="669"/>
    </row>
    <row r="31" spans="2:12" x14ac:dyDescent="0.25">
      <c r="B31" s="189" t="s">
        <v>113</v>
      </c>
      <c r="C31" s="178"/>
      <c r="D31" s="178"/>
      <c r="E31" s="177">
        <f>SUM(E25:E30)</f>
        <v>63.800000000000004</v>
      </c>
      <c r="F31" s="179">
        <f>SUM(F25:F30)</f>
        <v>73.5</v>
      </c>
      <c r="G31" s="282">
        <f>SUM(G25:H30)</f>
        <v>69.3</v>
      </c>
      <c r="H31" s="266"/>
      <c r="I31" s="181">
        <f>SUM(I25:I30)</f>
        <v>62.000000000000007</v>
      </c>
      <c r="J31" s="182">
        <f>SUM(J25:J30)</f>
        <v>56.2</v>
      </c>
      <c r="K31" s="710">
        <f>SUM(K25:L30)</f>
        <v>59.3</v>
      </c>
      <c r="L31" s="710"/>
    </row>
    <row r="32" spans="2:12" x14ac:dyDescent="0.25">
      <c r="B32" s="19" t="s">
        <v>151</v>
      </c>
      <c r="E32" s="27"/>
      <c r="F32" s="28"/>
      <c r="G32" s="281"/>
      <c r="H32" s="696"/>
      <c r="I32" s="9"/>
      <c r="J32" s="9"/>
      <c r="K32" s="700"/>
      <c r="L32" s="700"/>
    </row>
    <row r="33" spans="2:15" x14ac:dyDescent="0.25">
      <c r="B33" s="17" t="s">
        <v>115</v>
      </c>
      <c r="E33" s="53">
        <v>10</v>
      </c>
      <c r="F33" s="28">
        <v>7.2</v>
      </c>
      <c r="G33" s="697">
        <v>8.5</v>
      </c>
      <c r="H33" s="698"/>
      <c r="I33" s="168">
        <v>0.8</v>
      </c>
      <c r="J33" s="168">
        <v>0.7</v>
      </c>
      <c r="K33" s="667">
        <v>0.8</v>
      </c>
      <c r="L33" s="667"/>
    </row>
    <row r="34" spans="2:15" x14ac:dyDescent="0.25">
      <c r="B34" s="17" t="s">
        <v>116</v>
      </c>
      <c r="E34" s="27">
        <v>3.4</v>
      </c>
      <c r="F34" s="28">
        <v>0.3</v>
      </c>
      <c r="G34" s="697">
        <v>1.6</v>
      </c>
      <c r="H34" s="698"/>
      <c r="I34" s="168">
        <v>5.8</v>
      </c>
      <c r="J34" s="168">
        <v>1</v>
      </c>
      <c r="K34" s="667">
        <v>3.6</v>
      </c>
      <c r="L34" s="667"/>
    </row>
    <row r="35" spans="2:15" x14ac:dyDescent="0.25">
      <c r="B35" s="17" t="s">
        <v>117</v>
      </c>
      <c r="E35" s="27">
        <v>16.399999999999999</v>
      </c>
      <c r="F35" s="28">
        <v>12.2</v>
      </c>
      <c r="G35" s="697">
        <v>14.2</v>
      </c>
      <c r="H35" s="698"/>
      <c r="I35" s="168">
        <v>18.8</v>
      </c>
      <c r="J35" s="168">
        <v>21.5</v>
      </c>
      <c r="K35" s="667">
        <v>20.100000000000001</v>
      </c>
      <c r="L35" s="667"/>
    </row>
    <row r="36" spans="2:15" x14ac:dyDescent="0.25">
      <c r="B36" s="17" t="s">
        <v>118</v>
      </c>
      <c r="E36" s="27">
        <v>3.8</v>
      </c>
      <c r="F36" s="28">
        <v>3.8</v>
      </c>
      <c r="G36" s="699">
        <v>3.7</v>
      </c>
      <c r="H36" s="698"/>
      <c r="I36" s="168">
        <v>4.4000000000000004</v>
      </c>
      <c r="J36" s="168">
        <v>7.1</v>
      </c>
      <c r="K36" s="667">
        <v>5.6</v>
      </c>
      <c r="L36" s="667"/>
    </row>
    <row r="37" spans="2:15" x14ac:dyDescent="0.25">
      <c r="B37" s="17" t="s">
        <v>119</v>
      </c>
      <c r="E37" s="27">
        <v>2.6</v>
      </c>
      <c r="F37" s="31">
        <v>3</v>
      </c>
      <c r="G37" s="699">
        <v>2.7</v>
      </c>
      <c r="H37" s="698"/>
      <c r="I37" s="168">
        <v>8.1999999999999993</v>
      </c>
      <c r="J37" s="168">
        <v>13.5</v>
      </c>
      <c r="K37" s="667">
        <v>10.6</v>
      </c>
      <c r="L37" s="667"/>
    </row>
    <row r="38" spans="2:15" x14ac:dyDescent="0.25">
      <c r="B38" s="189" t="s">
        <v>152</v>
      </c>
      <c r="C38" s="178"/>
      <c r="D38" s="178"/>
      <c r="E38" s="177">
        <f>SUM(E33:E37)</f>
        <v>36.199999999999996</v>
      </c>
      <c r="F38" s="179">
        <f>SUM(F33:F37)</f>
        <v>26.5</v>
      </c>
      <c r="G38" s="280">
        <f>SUM(G33:H37)</f>
        <v>30.699999999999996</v>
      </c>
      <c r="H38" s="266"/>
      <c r="I38" s="181">
        <f>SUM(I33:I37)</f>
        <v>38</v>
      </c>
      <c r="J38" s="182">
        <f>SUM(J33:J37)</f>
        <v>43.8</v>
      </c>
      <c r="K38" s="711">
        <f>SUM(K33:L37)</f>
        <v>40.700000000000003</v>
      </c>
      <c r="L38" s="710"/>
    </row>
    <row r="39" spans="2:15" ht="13.8" thickBot="1" x14ac:dyDescent="0.3">
      <c r="B39" s="21" t="s">
        <v>153</v>
      </c>
      <c r="C39" s="22"/>
      <c r="D39" s="22"/>
      <c r="E39" s="29">
        <f>+E31+E38</f>
        <v>100</v>
      </c>
      <c r="F39" s="30">
        <f>+F31+F38</f>
        <v>100</v>
      </c>
      <c r="G39" s="668">
        <v>100</v>
      </c>
      <c r="H39" s="695"/>
      <c r="I39" s="29">
        <f>+I31+I38</f>
        <v>100</v>
      </c>
      <c r="J39" s="30">
        <f>+J31+J38</f>
        <v>100</v>
      </c>
      <c r="K39" s="668">
        <v>100</v>
      </c>
      <c r="L39" s="668"/>
    </row>
    <row r="40" spans="2:15" x14ac:dyDescent="0.25">
      <c r="B40" s="188" t="s">
        <v>348</v>
      </c>
    </row>
    <row r="42" spans="2:15" ht="13.8" thickBot="1" x14ac:dyDescent="0.3"/>
    <row r="43" spans="2:15" ht="13.8" thickBot="1" x14ac:dyDescent="0.3">
      <c r="B43" s="702" t="s">
        <v>359</v>
      </c>
      <c r="C43" s="702"/>
      <c r="D43" s="702"/>
      <c r="E43" s="702"/>
      <c r="F43" s="702"/>
      <c r="G43" s="702"/>
      <c r="H43" s="702"/>
      <c r="I43" s="702"/>
      <c r="J43" s="702"/>
      <c r="K43" s="702"/>
      <c r="L43" s="702"/>
      <c r="M43" s="702"/>
      <c r="N43" s="702"/>
      <c r="O43" s="97"/>
    </row>
    <row r="44" spans="2:15" x14ac:dyDescent="0.25">
      <c r="B44" s="703" t="s">
        <v>198</v>
      </c>
      <c r="C44" s="278" t="s">
        <v>196</v>
      </c>
      <c r="D44" s="488"/>
      <c r="E44" s="488"/>
      <c r="F44" s="488"/>
      <c r="G44" s="488"/>
      <c r="H44" s="488"/>
      <c r="I44" s="278" t="s">
        <v>197</v>
      </c>
      <c r="J44" s="488"/>
      <c r="K44" s="488"/>
      <c r="L44" s="488"/>
      <c r="M44" s="488"/>
      <c r="N44" s="423"/>
      <c r="O44" s="11"/>
    </row>
    <row r="45" spans="2:15" x14ac:dyDescent="0.25">
      <c r="B45" s="405"/>
      <c r="C45" s="671" t="s">
        <v>203</v>
      </c>
      <c r="D45" s="672"/>
      <c r="E45" s="183" t="s">
        <v>202</v>
      </c>
      <c r="F45" s="679" t="s">
        <v>195</v>
      </c>
      <c r="G45" s="680"/>
      <c r="H45" s="681"/>
      <c r="I45" s="641" t="s">
        <v>194</v>
      </c>
      <c r="J45" s="641"/>
      <c r="K45" s="641"/>
      <c r="L45" s="641" t="s">
        <v>195</v>
      </c>
      <c r="M45" s="641"/>
      <c r="N45" s="701"/>
      <c r="O45" s="169"/>
    </row>
    <row r="46" spans="2:15" x14ac:dyDescent="0.25">
      <c r="B46" s="405"/>
      <c r="C46" s="673" t="s">
        <v>194</v>
      </c>
      <c r="D46" s="666"/>
      <c r="E46" s="570"/>
      <c r="F46" s="682"/>
      <c r="G46" s="683"/>
      <c r="H46" s="405"/>
      <c r="I46" s="641"/>
      <c r="J46" s="641"/>
      <c r="K46" s="641"/>
      <c r="L46" s="641"/>
      <c r="M46" s="641"/>
      <c r="N46" s="701"/>
      <c r="O46" s="169"/>
    </row>
    <row r="47" spans="2:15" x14ac:dyDescent="0.25">
      <c r="B47" s="405"/>
      <c r="C47" s="516"/>
      <c r="D47" s="674"/>
      <c r="E47" s="571"/>
      <c r="F47" s="684"/>
      <c r="G47" s="685"/>
      <c r="H47" s="686"/>
      <c r="I47" s="641"/>
      <c r="J47" s="641"/>
      <c r="K47" s="641"/>
      <c r="L47" s="641"/>
      <c r="M47" s="641"/>
      <c r="N47" s="701"/>
      <c r="O47" s="169"/>
    </row>
    <row r="48" spans="2:15" ht="15.6" x14ac:dyDescent="0.35">
      <c r="B48" s="686"/>
      <c r="C48" s="536" t="s">
        <v>191</v>
      </c>
      <c r="D48" s="536"/>
      <c r="E48" s="20" t="s">
        <v>192</v>
      </c>
      <c r="F48" s="536" t="s">
        <v>193</v>
      </c>
      <c r="G48" s="277"/>
      <c r="H48" s="527"/>
      <c r="I48" s="536" t="s">
        <v>191</v>
      </c>
      <c r="J48" s="536"/>
      <c r="K48" s="20" t="s">
        <v>192</v>
      </c>
      <c r="L48" s="536" t="s">
        <v>193</v>
      </c>
      <c r="M48" s="277"/>
      <c r="N48" s="690"/>
      <c r="O48" s="67"/>
    </row>
    <row r="49" spans="2:15" ht="13.8" thickBot="1" x14ac:dyDescent="0.3">
      <c r="B49" s="57" t="s">
        <v>190</v>
      </c>
      <c r="C49" s="670">
        <v>0.38200000000000001</v>
      </c>
      <c r="D49" s="670"/>
      <c r="E49" s="2">
        <v>0.61799999999999999</v>
      </c>
      <c r="F49" s="687">
        <v>0.37</v>
      </c>
      <c r="G49" s="688"/>
      <c r="H49" s="689"/>
      <c r="I49" s="675">
        <v>0.54</v>
      </c>
      <c r="J49" s="675"/>
      <c r="K49" s="190">
        <v>0.46</v>
      </c>
      <c r="L49" s="676">
        <v>0.28000000000000003</v>
      </c>
      <c r="M49" s="677"/>
      <c r="N49" s="678"/>
      <c r="O49" s="67"/>
    </row>
    <row r="50" spans="2:15" x14ac:dyDescent="0.25">
      <c r="B50" s="188" t="s">
        <v>358</v>
      </c>
    </row>
  </sheetData>
  <mergeCells count="91">
    <mergeCell ref="H11:J11"/>
    <mergeCell ref="B12:D12"/>
    <mergeCell ref="B8:C8"/>
    <mergeCell ref="B23:C23"/>
    <mergeCell ref="B5:J6"/>
    <mergeCell ref="E10:G10"/>
    <mergeCell ref="E11:G11"/>
    <mergeCell ref="H13:J13"/>
    <mergeCell ref="H14:J14"/>
    <mergeCell ref="H15:J15"/>
    <mergeCell ref="E7:J7"/>
    <mergeCell ref="H12:J12"/>
    <mergeCell ref="H8:J8"/>
    <mergeCell ref="E9:G9"/>
    <mergeCell ref="H9:J9"/>
    <mergeCell ref="E12:G12"/>
    <mergeCell ref="H10:J10"/>
    <mergeCell ref="K38:L38"/>
    <mergeCell ref="B7:D7"/>
    <mergeCell ref="E8:G8"/>
    <mergeCell ref="E20:L20"/>
    <mergeCell ref="F22:F23"/>
    <mergeCell ref="G22:H23"/>
    <mergeCell ref="E21:H21"/>
    <mergeCell ref="I21:L21"/>
    <mergeCell ref="I22:I23"/>
    <mergeCell ref="J22:J23"/>
    <mergeCell ref="K22:L23"/>
    <mergeCell ref="B9:D9"/>
    <mergeCell ref="B10:D10"/>
    <mergeCell ref="B11:D11"/>
    <mergeCell ref="E13:G13"/>
    <mergeCell ref="E14:G14"/>
    <mergeCell ref="C44:H44"/>
    <mergeCell ref="L45:N47"/>
    <mergeCell ref="B43:N43"/>
    <mergeCell ref="B44:B48"/>
    <mergeCell ref="B15:D15"/>
    <mergeCell ref="G24:H24"/>
    <mergeCell ref="B18:L19"/>
    <mergeCell ref="E22:E23"/>
    <mergeCell ref="G38:H38"/>
    <mergeCell ref="G36:H36"/>
    <mergeCell ref="G37:H37"/>
    <mergeCell ref="E15:G15"/>
    <mergeCell ref="K31:L31"/>
    <mergeCell ref="K25:L25"/>
    <mergeCell ref="K26:L26"/>
    <mergeCell ref="K27:L27"/>
    <mergeCell ref="B13:D13"/>
    <mergeCell ref="B14:D14"/>
    <mergeCell ref="G39:H39"/>
    <mergeCell ref="G32:H32"/>
    <mergeCell ref="G34:H34"/>
    <mergeCell ref="G35:H35"/>
    <mergeCell ref="G31:H31"/>
    <mergeCell ref="G33:H33"/>
    <mergeCell ref="G25:H25"/>
    <mergeCell ref="G26:H26"/>
    <mergeCell ref="G27:H27"/>
    <mergeCell ref="G28:H28"/>
    <mergeCell ref="G29:H29"/>
    <mergeCell ref="G30:H30"/>
    <mergeCell ref="L49:N49"/>
    <mergeCell ref="F45:H47"/>
    <mergeCell ref="F48:H48"/>
    <mergeCell ref="F49:H49"/>
    <mergeCell ref="L48:N48"/>
    <mergeCell ref="C49:D49"/>
    <mergeCell ref="C48:D48"/>
    <mergeCell ref="C45:D45"/>
    <mergeCell ref="C46:E47"/>
    <mergeCell ref="I45:K47"/>
    <mergeCell ref="I49:J49"/>
    <mergeCell ref="I48:J48"/>
    <mergeCell ref="R5:AA6"/>
    <mergeCell ref="R7:R8"/>
    <mergeCell ref="S7:AA7"/>
    <mergeCell ref="R13:AA14"/>
    <mergeCell ref="I44:N44"/>
    <mergeCell ref="K34:L34"/>
    <mergeCell ref="K35:L35"/>
    <mergeCell ref="K36:L36"/>
    <mergeCell ref="K37:L37"/>
    <mergeCell ref="K39:L39"/>
    <mergeCell ref="K24:L24"/>
    <mergeCell ref="K29:L29"/>
    <mergeCell ref="K30:L30"/>
    <mergeCell ref="K32:L32"/>
    <mergeCell ref="K33:L33"/>
    <mergeCell ref="K28:L28"/>
  </mergeCells>
  <dataValidations count="1">
    <dataValidation type="list" allowBlank="1" showInputMessage="1" showErrorMessage="1" sqref="D8 E45 D23" xr:uid="{00000000-0002-0000-0500-000000000000}">
      <formula1>Local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2:AF53"/>
  <sheetViews>
    <sheetView workbookViewId="0"/>
  </sheetViews>
  <sheetFormatPr defaultRowHeight="13.2" x14ac:dyDescent="0.25"/>
  <cols>
    <col min="2" max="45" width="13.6640625" customWidth="1"/>
  </cols>
  <sheetData>
    <row r="2" spans="2:32" x14ac:dyDescent="0.25">
      <c r="B2" s="114" t="s">
        <v>328</v>
      </c>
      <c r="Y2" s="114" t="s">
        <v>329</v>
      </c>
    </row>
    <row r="4" spans="2:32" ht="13.8" thickBot="1" x14ac:dyDescent="0.3"/>
    <row r="5" spans="2:32" ht="13.8" thickTop="1" x14ac:dyDescent="0.25">
      <c r="B5" s="706" t="s">
        <v>350</v>
      </c>
      <c r="C5" s="707"/>
      <c r="D5" s="707"/>
      <c r="E5" s="707"/>
      <c r="F5" s="707"/>
      <c r="G5" s="707"/>
      <c r="H5" s="707"/>
      <c r="I5" s="707"/>
      <c r="J5" s="707"/>
      <c r="K5" s="707"/>
      <c r="L5" s="707"/>
      <c r="M5" s="707"/>
      <c r="N5" s="707"/>
      <c r="O5" s="707"/>
      <c r="P5" s="707"/>
      <c r="Y5" s="707" t="s">
        <v>369</v>
      </c>
      <c r="Z5" s="707"/>
      <c r="AA5" s="707"/>
      <c r="AB5" s="707"/>
      <c r="AC5" s="707"/>
      <c r="AD5" s="787"/>
      <c r="AE5" s="787"/>
      <c r="AF5" s="787"/>
    </row>
    <row r="6" spans="2:32" ht="13.8" thickBot="1" x14ac:dyDescent="0.3">
      <c r="B6" s="708"/>
      <c r="C6" s="708"/>
      <c r="D6" s="708"/>
      <c r="E6" s="708"/>
      <c r="F6" s="708"/>
      <c r="G6" s="708"/>
      <c r="H6" s="708"/>
      <c r="I6" s="708"/>
      <c r="J6" s="708"/>
      <c r="K6" s="708"/>
      <c r="L6" s="708"/>
      <c r="M6" s="708"/>
      <c r="N6" s="708"/>
      <c r="O6" s="708"/>
      <c r="P6" s="708"/>
      <c r="Y6" s="273"/>
      <c r="Z6" s="273"/>
      <c r="AA6" s="273"/>
      <c r="AB6" s="273"/>
      <c r="AC6" s="273"/>
      <c r="AD6" s="708"/>
      <c r="AE6" s="708"/>
      <c r="AF6" s="708"/>
    </row>
    <row r="7" spans="2:32" x14ac:dyDescent="0.25">
      <c r="B7" s="750" t="s">
        <v>148</v>
      </c>
      <c r="C7" s="432"/>
      <c r="D7" s="433"/>
      <c r="E7" s="715" t="s">
        <v>172</v>
      </c>
      <c r="F7" s="715"/>
      <c r="G7" s="715"/>
      <c r="H7" s="715"/>
      <c r="I7" s="715"/>
      <c r="J7" s="715"/>
      <c r="K7" s="715"/>
      <c r="L7" s="715"/>
      <c r="M7" s="715"/>
      <c r="N7" s="715"/>
      <c r="O7" s="715"/>
      <c r="P7" s="715"/>
      <c r="Y7" s="272" t="s">
        <v>243</v>
      </c>
      <c r="Z7" s="835"/>
      <c r="AA7" s="823" t="s">
        <v>244</v>
      </c>
      <c r="AB7" s="837"/>
      <c r="AC7" s="823" t="s">
        <v>242</v>
      </c>
      <c r="AD7" s="824"/>
      <c r="AE7" s="824"/>
      <c r="AF7" s="824"/>
    </row>
    <row r="8" spans="2:32" x14ac:dyDescent="0.25">
      <c r="B8" s="284"/>
      <c r="C8" s="284"/>
      <c r="D8" s="285"/>
      <c r="E8" s="719" t="s">
        <v>146</v>
      </c>
      <c r="F8" s="755"/>
      <c r="G8" s="755"/>
      <c r="H8" s="720"/>
      <c r="I8" s="720"/>
      <c r="J8" s="721"/>
      <c r="K8" s="719" t="s">
        <v>147</v>
      </c>
      <c r="L8" s="755"/>
      <c r="M8" s="720"/>
      <c r="N8" s="720"/>
      <c r="O8" s="720"/>
      <c r="P8" s="720"/>
      <c r="Y8" s="716"/>
      <c r="Z8" s="836"/>
      <c r="AA8" s="825"/>
      <c r="AB8" s="717"/>
      <c r="AC8" s="825"/>
      <c r="AD8" s="723"/>
      <c r="AE8" s="723"/>
      <c r="AF8" s="723"/>
    </row>
    <row r="9" spans="2:32" x14ac:dyDescent="0.25">
      <c r="B9" s="284"/>
      <c r="C9" s="284"/>
      <c r="D9" s="285"/>
      <c r="E9" s="679" t="s">
        <v>215</v>
      </c>
      <c r="F9" s="751"/>
      <c r="G9" s="756" t="s">
        <v>216</v>
      </c>
      <c r="H9" s="757"/>
      <c r="I9" s="716" t="s">
        <v>217</v>
      </c>
      <c r="J9" s="717"/>
      <c r="K9" s="679" t="s">
        <v>215</v>
      </c>
      <c r="L9" s="751"/>
      <c r="M9" s="679" t="s">
        <v>216</v>
      </c>
      <c r="N9" s="751"/>
      <c r="O9" s="679" t="s">
        <v>217</v>
      </c>
      <c r="P9" s="757"/>
      <c r="Y9" s="723"/>
      <c r="Z9" s="717"/>
      <c r="AA9" s="825"/>
      <c r="AB9" s="717"/>
      <c r="AC9" s="826">
        <v>1</v>
      </c>
      <c r="AD9" s="828">
        <v>2</v>
      </c>
      <c r="AE9" s="828">
        <v>3</v>
      </c>
      <c r="AF9" s="843">
        <v>4</v>
      </c>
    </row>
    <row r="10" spans="2:32" x14ac:dyDescent="0.25">
      <c r="B10" s="754" t="s">
        <v>203</v>
      </c>
      <c r="C10" s="460"/>
      <c r="D10" s="158" t="s">
        <v>202</v>
      </c>
      <c r="E10" s="752"/>
      <c r="F10" s="753"/>
      <c r="G10" s="758"/>
      <c r="H10" s="758"/>
      <c r="I10" s="718"/>
      <c r="J10" s="717"/>
      <c r="K10" s="752"/>
      <c r="L10" s="753"/>
      <c r="M10" s="752"/>
      <c r="N10" s="753"/>
      <c r="O10" s="759"/>
      <c r="P10" s="758"/>
      <c r="Y10" s="758"/>
      <c r="Z10" s="753"/>
      <c r="AA10" s="759"/>
      <c r="AB10" s="753"/>
      <c r="AC10" s="827"/>
      <c r="AD10" s="829"/>
      <c r="AE10" s="829"/>
      <c r="AF10" s="844"/>
    </row>
    <row r="11" spans="2:32" x14ac:dyDescent="0.25">
      <c r="B11" s="749"/>
      <c r="C11" s="299"/>
      <c r="D11" s="300"/>
      <c r="E11" s="304"/>
      <c r="F11" s="300"/>
      <c r="G11" s="304"/>
      <c r="H11" s="300"/>
      <c r="I11" s="281"/>
      <c r="J11" s="696"/>
      <c r="K11" s="746"/>
      <c r="L11" s="747"/>
      <c r="M11" s="746"/>
      <c r="N11" s="747"/>
      <c r="O11" s="748"/>
      <c r="P11" s="748"/>
      <c r="Y11" s="842" t="s">
        <v>245</v>
      </c>
      <c r="Z11" s="751"/>
      <c r="AA11" s="852" t="s">
        <v>370</v>
      </c>
      <c r="AB11" s="751"/>
      <c r="AC11" s="850">
        <v>0.56000000000000005</v>
      </c>
      <c r="AD11" s="831">
        <v>0.31</v>
      </c>
      <c r="AE11" s="830">
        <v>0.31</v>
      </c>
      <c r="AF11" s="838">
        <v>0.31</v>
      </c>
    </row>
    <row r="12" spans="2:32" x14ac:dyDescent="0.25">
      <c r="B12" s="741" t="s">
        <v>138</v>
      </c>
      <c r="C12" s="284"/>
      <c r="D12" s="285"/>
      <c r="E12" s="742">
        <v>1.7</v>
      </c>
      <c r="F12" s="743"/>
      <c r="G12" s="742">
        <v>1.8</v>
      </c>
      <c r="H12" s="698"/>
      <c r="I12" s="742">
        <v>0.9</v>
      </c>
      <c r="J12" s="760"/>
      <c r="K12" s="744">
        <v>4</v>
      </c>
      <c r="L12" s="745"/>
      <c r="M12" s="744">
        <v>17</v>
      </c>
      <c r="N12" s="745"/>
      <c r="O12" s="761"/>
      <c r="P12" s="744"/>
      <c r="Y12" s="758"/>
      <c r="Z12" s="753"/>
      <c r="AA12" s="759"/>
      <c r="AB12" s="753"/>
      <c r="AC12" s="851"/>
      <c r="AD12" s="831"/>
      <c r="AE12" s="831"/>
      <c r="AF12" s="839"/>
    </row>
    <row r="13" spans="2:32" x14ac:dyDescent="0.25">
      <c r="B13" s="741" t="s">
        <v>177</v>
      </c>
      <c r="C13" s="284"/>
      <c r="D13" s="285"/>
      <c r="E13" s="742">
        <v>4</v>
      </c>
      <c r="F13" s="743"/>
      <c r="G13" s="742">
        <v>4.3</v>
      </c>
      <c r="H13" s="698"/>
      <c r="I13" s="742">
        <v>2.1</v>
      </c>
      <c r="J13" s="760"/>
      <c r="K13" s="744"/>
      <c r="L13" s="745"/>
      <c r="M13" s="744"/>
      <c r="N13" s="745"/>
      <c r="O13" s="761"/>
      <c r="P13" s="744"/>
      <c r="Y13" s="853" t="s">
        <v>371</v>
      </c>
      <c r="Z13" s="854"/>
      <c r="AA13" s="852" t="s">
        <v>370</v>
      </c>
      <c r="AB13" s="751"/>
      <c r="AC13" s="850">
        <v>0.72</v>
      </c>
      <c r="AD13" s="831">
        <v>0.52</v>
      </c>
      <c r="AE13" s="830">
        <v>0.52</v>
      </c>
      <c r="AF13" s="838">
        <v>0.52</v>
      </c>
    </row>
    <row r="14" spans="2:32" x14ac:dyDescent="0.25">
      <c r="B14" s="741" t="s">
        <v>176</v>
      </c>
      <c r="C14" s="284"/>
      <c r="D14" s="285"/>
      <c r="E14" s="742">
        <v>16.600000000000001</v>
      </c>
      <c r="F14" s="743"/>
      <c r="G14" s="742">
        <v>16.2</v>
      </c>
      <c r="H14" s="698"/>
      <c r="I14" s="742">
        <v>10.5</v>
      </c>
      <c r="J14" s="760"/>
      <c r="K14" s="744"/>
      <c r="L14" s="745"/>
      <c r="M14" s="744"/>
      <c r="N14" s="745"/>
      <c r="O14" s="761"/>
      <c r="P14" s="744"/>
      <c r="Y14" s="855"/>
      <c r="Z14" s="856"/>
      <c r="AA14" s="759"/>
      <c r="AB14" s="753"/>
      <c r="AC14" s="851"/>
      <c r="AD14" s="831"/>
      <c r="AE14" s="831"/>
      <c r="AF14" s="839"/>
    </row>
    <row r="15" spans="2:32" ht="13.8" thickBot="1" x14ac:dyDescent="0.3">
      <c r="B15" s="779" t="s">
        <v>178</v>
      </c>
      <c r="C15" s="780"/>
      <c r="D15" s="781"/>
      <c r="E15" s="770">
        <v>19.2</v>
      </c>
      <c r="F15" s="771"/>
      <c r="G15" s="770">
        <v>20.8</v>
      </c>
      <c r="H15" s="772"/>
      <c r="I15" s="742">
        <v>20.5</v>
      </c>
      <c r="J15" s="760"/>
      <c r="K15" s="763"/>
      <c r="L15" s="764"/>
      <c r="M15" s="763"/>
      <c r="N15" s="764"/>
      <c r="O15" s="762"/>
      <c r="P15" s="763"/>
      <c r="Y15" s="857"/>
      <c r="Z15" s="858"/>
      <c r="AA15" s="840" t="s">
        <v>246</v>
      </c>
      <c r="AB15" s="841"/>
      <c r="AC15" s="47">
        <v>0.82</v>
      </c>
      <c r="AD15" s="46">
        <v>0.67</v>
      </c>
      <c r="AE15" s="46">
        <v>0.55000000000000004</v>
      </c>
      <c r="AF15" s="47">
        <v>0.45</v>
      </c>
    </row>
    <row r="16" spans="2:32" ht="13.8" thickTop="1" x14ac:dyDescent="0.25">
      <c r="B16" s="767" t="s">
        <v>179</v>
      </c>
      <c r="C16" s="768"/>
      <c r="D16" s="769"/>
      <c r="E16" s="765">
        <f>SUM(E12:E15)</f>
        <v>41.5</v>
      </c>
      <c r="F16" s="766"/>
      <c r="G16" s="765">
        <f>SUM(G12:G15)</f>
        <v>43.099999999999994</v>
      </c>
      <c r="H16" s="766"/>
      <c r="I16" s="765">
        <f>SUM(I12:I15)</f>
        <v>34</v>
      </c>
      <c r="J16" s="766"/>
      <c r="K16" s="777">
        <f>SUM(K12:K15)</f>
        <v>4</v>
      </c>
      <c r="L16" s="778"/>
      <c r="M16" s="777">
        <f>SUM(M12:M15)</f>
        <v>17</v>
      </c>
      <c r="N16" s="778"/>
      <c r="O16" s="765">
        <f>SUM(O12:O15)</f>
        <v>0</v>
      </c>
      <c r="P16" s="773"/>
      <c r="Y16" s="92" t="s">
        <v>248</v>
      </c>
      <c r="Z16" s="859" t="s">
        <v>247</v>
      </c>
      <c r="AA16" s="860"/>
      <c r="AB16" s="860"/>
      <c r="AC16" s="860"/>
      <c r="AD16" s="860"/>
      <c r="AE16" s="860"/>
      <c r="AF16" s="860"/>
    </row>
    <row r="17" spans="2:32" ht="13.8" thickBot="1" x14ac:dyDescent="0.3">
      <c r="B17" s="779" t="s">
        <v>156</v>
      </c>
      <c r="C17" s="780"/>
      <c r="D17" s="781"/>
      <c r="E17" s="770">
        <f>100-E16</f>
        <v>58.5</v>
      </c>
      <c r="F17" s="771"/>
      <c r="G17" s="770">
        <f>100-G16</f>
        <v>56.900000000000006</v>
      </c>
      <c r="H17" s="772"/>
      <c r="I17" s="770">
        <f>100-I16</f>
        <v>66</v>
      </c>
      <c r="J17" s="774"/>
      <c r="K17" s="775">
        <f>100-K16</f>
        <v>96</v>
      </c>
      <c r="L17" s="776"/>
      <c r="M17" s="775">
        <f>100-M16</f>
        <v>83</v>
      </c>
      <c r="N17" s="776"/>
      <c r="O17" s="775">
        <f>100-O16</f>
        <v>100</v>
      </c>
      <c r="P17" s="792"/>
      <c r="Y17" s="52"/>
      <c r="Z17" s="270"/>
      <c r="AA17" s="270"/>
      <c r="AB17" s="270"/>
      <c r="AC17" s="270"/>
      <c r="AD17" s="270"/>
      <c r="AE17" s="270"/>
      <c r="AF17" s="270"/>
    </row>
    <row r="18" spans="2:32" ht="13.8" thickTop="1" x14ac:dyDescent="0.25">
      <c r="B18" s="782" t="s">
        <v>144</v>
      </c>
      <c r="C18" s="783"/>
      <c r="D18" s="784"/>
      <c r="E18" s="730">
        <f>SUM(E16:E17)</f>
        <v>100</v>
      </c>
      <c r="F18" s="793"/>
      <c r="G18" s="730">
        <f>SUM(G16:G17)</f>
        <v>100</v>
      </c>
      <c r="H18" s="793"/>
      <c r="I18" s="798">
        <f>SUM(I16:I17)</f>
        <v>100</v>
      </c>
      <c r="J18" s="799"/>
      <c r="K18" s="790">
        <f>SUM(K16:K17)</f>
        <v>100</v>
      </c>
      <c r="L18" s="800"/>
      <c r="M18" s="790">
        <f>SUM(M16:M17)</f>
        <v>100</v>
      </c>
      <c r="N18" s="800"/>
      <c r="O18" s="790">
        <f>SUM(O16:O17)</f>
        <v>100</v>
      </c>
      <c r="P18" s="791"/>
      <c r="Y18" s="52"/>
      <c r="Z18" s="92" t="s">
        <v>249</v>
      </c>
      <c r="AA18" s="52"/>
      <c r="AB18" s="52"/>
      <c r="AC18" s="52"/>
      <c r="AD18" s="51"/>
      <c r="AE18" s="51"/>
      <c r="AF18" s="51"/>
    </row>
    <row r="19" spans="2:32" x14ac:dyDescent="0.25">
      <c r="B19" s="187" t="s">
        <v>352</v>
      </c>
      <c r="D19" s="24"/>
      <c r="E19" s="49"/>
      <c r="F19" s="49"/>
      <c r="G19" s="49"/>
      <c r="H19" s="49"/>
      <c r="I19" s="49"/>
      <c r="J19" s="49"/>
      <c r="K19" s="36"/>
      <c r="L19" s="31"/>
      <c r="M19" s="9"/>
      <c r="N19" s="9"/>
      <c r="O19" s="36"/>
      <c r="P19" s="36"/>
      <c r="Y19" s="52"/>
      <c r="Z19" s="52"/>
      <c r="AA19" s="52"/>
      <c r="AB19" s="52"/>
      <c r="AC19" s="52"/>
      <c r="AD19" s="52"/>
      <c r="AE19" s="52"/>
      <c r="AF19" s="52"/>
    </row>
    <row r="20" spans="2:32" ht="13.8" thickBot="1" x14ac:dyDescent="0.3">
      <c r="B20" s="33"/>
      <c r="C20" s="34"/>
      <c r="D20" s="34"/>
      <c r="E20" s="11"/>
      <c r="F20" s="11"/>
      <c r="G20" s="11"/>
      <c r="H20" s="11"/>
      <c r="I20" s="11"/>
      <c r="J20" s="11"/>
      <c r="K20" s="35"/>
      <c r="L20" s="35"/>
      <c r="M20" s="35"/>
      <c r="N20" s="35"/>
      <c r="O20" s="35"/>
      <c r="P20" s="35"/>
      <c r="Q20" s="34"/>
    </row>
    <row r="21" spans="2:32" ht="13.8" thickTop="1" x14ac:dyDescent="0.25">
      <c r="B21" s="786" t="s">
        <v>351</v>
      </c>
      <c r="C21" s="787"/>
      <c r="D21" s="787"/>
      <c r="E21" s="787"/>
      <c r="F21" s="787"/>
      <c r="G21" s="787"/>
      <c r="H21" s="787"/>
      <c r="I21" s="787"/>
      <c r="J21" s="787"/>
      <c r="K21" s="787"/>
      <c r="L21" s="787"/>
      <c r="M21" s="787"/>
      <c r="N21" s="788"/>
      <c r="O21" s="788"/>
      <c r="P21" s="788"/>
      <c r="Q21" s="788"/>
      <c r="R21" s="788"/>
      <c r="S21" s="788"/>
      <c r="T21" s="788"/>
      <c r="U21" s="788"/>
      <c r="V21" s="788"/>
      <c r="Y21" s="707" t="s">
        <v>372</v>
      </c>
      <c r="Z21" s="707"/>
      <c r="AA21" s="707"/>
      <c r="AB21" s="707"/>
      <c r="AC21" s="707"/>
      <c r="AD21" s="787"/>
      <c r="AE21" s="787"/>
      <c r="AF21" s="787"/>
    </row>
    <row r="22" spans="2:32" ht="13.8" thickBot="1" x14ac:dyDescent="0.3">
      <c r="B22" s="273"/>
      <c r="C22" s="708"/>
      <c r="D22" s="708"/>
      <c r="E22" s="708"/>
      <c r="F22" s="708"/>
      <c r="G22" s="708"/>
      <c r="H22" s="708"/>
      <c r="I22" s="708"/>
      <c r="J22" s="708"/>
      <c r="K22" s="708"/>
      <c r="L22" s="708"/>
      <c r="M22" s="708"/>
      <c r="N22" s="789"/>
      <c r="O22" s="789"/>
      <c r="P22" s="789"/>
      <c r="Q22" s="789"/>
      <c r="R22" s="789"/>
      <c r="S22" s="789"/>
      <c r="T22" s="789"/>
      <c r="U22" s="789"/>
      <c r="V22" s="789"/>
      <c r="Y22" s="273"/>
      <c r="Z22" s="273"/>
      <c r="AA22" s="273"/>
      <c r="AB22" s="273"/>
      <c r="AC22" s="273"/>
      <c r="AD22" s="708"/>
      <c r="AE22" s="708"/>
      <c r="AF22" s="708"/>
    </row>
    <row r="23" spans="2:32" x14ac:dyDescent="0.25">
      <c r="B23" s="785" t="s">
        <v>148</v>
      </c>
      <c r="C23" s="283"/>
      <c r="D23" s="285"/>
      <c r="E23" s="734" t="s">
        <v>182</v>
      </c>
      <c r="F23" s="795"/>
      <c r="G23" s="795"/>
      <c r="H23" s="795"/>
      <c r="I23" s="795"/>
      <c r="J23" s="795"/>
      <c r="K23" s="795"/>
      <c r="L23" s="795"/>
      <c r="M23" s="795"/>
      <c r="N23" s="734" t="s">
        <v>183</v>
      </c>
      <c r="O23" s="795"/>
      <c r="P23" s="795"/>
      <c r="Q23" s="795"/>
      <c r="R23" s="795"/>
      <c r="S23" s="795"/>
      <c r="T23" s="795"/>
      <c r="U23" s="795"/>
      <c r="V23" s="795"/>
      <c r="Y23" s="272" t="s">
        <v>243</v>
      </c>
      <c r="Z23" s="835"/>
      <c r="AA23" s="823" t="s">
        <v>244</v>
      </c>
      <c r="AB23" s="837"/>
      <c r="AC23" s="823" t="s">
        <v>242</v>
      </c>
      <c r="AD23" s="824"/>
      <c r="AE23" s="824"/>
      <c r="AF23" s="824"/>
    </row>
    <row r="24" spans="2:32" x14ac:dyDescent="0.25">
      <c r="B24" s="284"/>
      <c r="C24" s="284"/>
      <c r="D24" s="285"/>
      <c r="E24" s="794" t="s">
        <v>173</v>
      </c>
      <c r="F24" s="532"/>
      <c r="G24" s="532"/>
      <c r="H24" s="601" t="s">
        <v>174</v>
      </c>
      <c r="I24" s="532"/>
      <c r="J24" s="532"/>
      <c r="K24" s="601" t="s">
        <v>175</v>
      </c>
      <c r="L24" s="532"/>
      <c r="M24" s="398"/>
      <c r="N24" s="601" t="s">
        <v>173</v>
      </c>
      <c r="O24" s="532"/>
      <c r="P24" s="532"/>
      <c r="Q24" s="601" t="s">
        <v>174</v>
      </c>
      <c r="R24" s="532"/>
      <c r="S24" s="532"/>
      <c r="T24" s="601" t="s">
        <v>175</v>
      </c>
      <c r="U24" s="532"/>
      <c r="V24" s="398"/>
      <c r="Y24" s="716"/>
      <c r="Z24" s="836"/>
      <c r="AA24" s="825"/>
      <c r="AB24" s="717"/>
      <c r="AC24" s="825"/>
      <c r="AD24" s="723"/>
      <c r="AE24" s="723"/>
      <c r="AF24" s="723"/>
    </row>
    <row r="25" spans="2:32" x14ac:dyDescent="0.25">
      <c r="B25" s="284"/>
      <c r="C25" s="284"/>
      <c r="D25" s="285"/>
      <c r="E25" s="399"/>
      <c r="F25" s="532"/>
      <c r="G25" s="532"/>
      <c r="H25" s="532"/>
      <c r="I25" s="532"/>
      <c r="J25" s="532"/>
      <c r="K25" s="532"/>
      <c r="L25" s="532"/>
      <c r="M25" s="398"/>
      <c r="N25" s="532"/>
      <c r="O25" s="532"/>
      <c r="P25" s="532"/>
      <c r="Q25" s="532"/>
      <c r="R25" s="532"/>
      <c r="S25" s="532"/>
      <c r="T25" s="532"/>
      <c r="U25" s="532"/>
      <c r="V25" s="398"/>
      <c r="Y25" s="723"/>
      <c r="Z25" s="717"/>
      <c r="AA25" s="825"/>
      <c r="AB25" s="717"/>
      <c r="AC25" s="826">
        <v>1</v>
      </c>
      <c r="AD25" s="828">
        <v>2</v>
      </c>
      <c r="AE25" s="828">
        <v>3</v>
      </c>
      <c r="AF25" s="843">
        <v>4</v>
      </c>
    </row>
    <row r="26" spans="2:32" x14ac:dyDescent="0.25">
      <c r="B26" s="284"/>
      <c r="C26" s="284"/>
      <c r="D26" s="285"/>
      <c r="E26" s="796" t="s">
        <v>180</v>
      </c>
      <c r="F26" s="803" t="s">
        <v>156</v>
      </c>
      <c r="G26" s="803" t="s">
        <v>89</v>
      </c>
      <c r="H26" s="803" t="s">
        <v>181</v>
      </c>
      <c r="I26" s="803" t="s">
        <v>156</v>
      </c>
      <c r="J26" s="803" t="s">
        <v>89</v>
      </c>
      <c r="K26" s="803" t="s">
        <v>181</v>
      </c>
      <c r="L26" s="803" t="s">
        <v>156</v>
      </c>
      <c r="M26" s="804" t="s">
        <v>89</v>
      </c>
      <c r="N26" s="803" t="s">
        <v>180</v>
      </c>
      <c r="O26" s="803" t="s">
        <v>156</v>
      </c>
      <c r="P26" s="803" t="s">
        <v>89</v>
      </c>
      <c r="Q26" s="803" t="s">
        <v>181</v>
      </c>
      <c r="R26" s="803" t="s">
        <v>156</v>
      </c>
      <c r="S26" s="803" t="s">
        <v>89</v>
      </c>
      <c r="T26" s="803" t="s">
        <v>181</v>
      </c>
      <c r="U26" s="803" t="s">
        <v>156</v>
      </c>
      <c r="V26" s="804" t="s">
        <v>89</v>
      </c>
      <c r="Y26" s="758"/>
      <c r="Z26" s="753"/>
      <c r="AA26" s="759"/>
      <c r="AB26" s="753"/>
      <c r="AC26" s="827"/>
      <c r="AD26" s="829"/>
      <c r="AE26" s="829"/>
      <c r="AF26" s="844"/>
    </row>
    <row r="27" spans="2:32" x14ac:dyDescent="0.25">
      <c r="B27" s="754" t="s">
        <v>203</v>
      </c>
      <c r="C27" s="460"/>
      <c r="D27" s="158" t="s">
        <v>202</v>
      </c>
      <c r="E27" s="797"/>
      <c r="F27" s="596"/>
      <c r="G27" s="596"/>
      <c r="H27" s="596"/>
      <c r="I27" s="596"/>
      <c r="J27" s="596"/>
      <c r="K27" s="596"/>
      <c r="L27" s="596"/>
      <c r="M27" s="805"/>
      <c r="N27" s="596"/>
      <c r="O27" s="596"/>
      <c r="P27" s="596"/>
      <c r="Q27" s="596"/>
      <c r="R27" s="596"/>
      <c r="S27" s="596"/>
      <c r="T27" s="596"/>
      <c r="U27" s="596"/>
      <c r="V27" s="805"/>
      <c r="Y27" s="842" t="s">
        <v>245</v>
      </c>
      <c r="Z27" s="751"/>
      <c r="AA27" s="852" t="s">
        <v>370</v>
      </c>
      <c r="AB27" s="751"/>
      <c r="AC27" s="850">
        <v>0.86</v>
      </c>
      <c r="AD27" s="831">
        <v>0.74</v>
      </c>
      <c r="AE27" s="830">
        <v>0.74</v>
      </c>
      <c r="AF27" s="838">
        <v>0.74</v>
      </c>
    </row>
    <row r="28" spans="2:32" x14ac:dyDescent="0.25">
      <c r="B28" s="720" t="s">
        <v>149</v>
      </c>
      <c r="C28" s="282"/>
      <c r="D28" s="282"/>
      <c r="E28" s="282"/>
      <c r="F28" s="282"/>
      <c r="G28" s="282"/>
      <c r="H28" s="282"/>
      <c r="I28" s="282"/>
      <c r="J28" s="282"/>
      <c r="K28" s="282"/>
      <c r="L28" s="282"/>
      <c r="M28" s="282"/>
      <c r="N28" s="318" t="s">
        <v>149</v>
      </c>
      <c r="O28" s="282"/>
      <c r="P28" s="282"/>
      <c r="Q28" s="282"/>
      <c r="R28" s="282"/>
      <c r="S28" s="282"/>
      <c r="T28" s="282"/>
      <c r="U28" s="282"/>
      <c r="V28" s="282"/>
      <c r="Y28" s="758"/>
      <c r="Z28" s="753"/>
      <c r="AA28" s="759"/>
      <c r="AB28" s="753"/>
      <c r="AC28" s="851"/>
      <c r="AD28" s="831"/>
      <c r="AE28" s="831"/>
      <c r="AF28" s="839"/>
    </row>
    <row r="29" spans="2:32" x14ac:dyDescent="0.25">
      <c r="B29" s="822" t="s">
        <v>107</v>
      </c>
      <c r="C29" s="299"/>
      <c r="D29" s="300"/>
      <c r="E29" s="37">
        <v>0.8</v>
      </c>
      <c r="F29" s="37">
        <v>2.6</v>
      </c>
      <c r="G29" s="37">
        <v>1.9</v>
      </c>
      <c r="H29" s="37">
        <v>0.6</v>
      </c>
      <c r="I29" s="37">
        <v>1.4</v>
      </c>
      <c r="J29" s="37">
        <v>1</v>
      </c>
      <c r="K29" s="37">
        <v>0</v>
      </c>
      <c r="L29" s="37">
        <v>0.3</v>
      </c>
      <c r="M29" s="35">
        <v>0.2</v>
      </c>
      <c r="N29" s="170"/>
      <c r="O29" s="170"/>
      <c r="P29" s="170">
        <v>1</v>
      </c>
      <c r="Q29" s="170"/>
      <c r="R29" s="170"/>
      <c r="S29" s="170">
        <v>1</v>
      </c>
      <c r="T29" s="170"/>
      <c r="U29" s="170"/>
      <c r="V29" s="172">
        <v>1</v>
      </c>
      <c r="Y29" s="853" t="s">
        <v>371</v>
      </c>
      <c r="Z29" s="854"/>
      <c r="AA29" s="852" t="s">
        <v>370</v>
      </c>
      <c r="AB29" s="751"/>
      <c r="AC29" s="850">
        <v>0.86</v>
      </c>
      <c r="AD29" s="831">
        <v>0.74</v>
      </c>
      <c r="AE29" s="830">
        <v>0.74</v>
      </c>
      <c r="AF29" s="838">
        <v>0.74</v>
      </c>
    </row>
    <row r="30" spans="2:32" x14ac:dyDescent="0.25">
      <c r="B30" s="801" t="s">
        <v>108</v>
      </c>
      <c r="C30" s="284"/>
      <c r="D30" s="285"/>
      <c r="E30" s="37">
        <v>0.1</v>
      </c>
      <c r="F30" s="37">
        <v>0.1</v>
      </c>
      <c r="G30" s="37">
        <v>0.1</v>
      </c>
      <c r="H30" s="37">
        <v>0.1</v>
      </c>
      <c r="I30" s="37">
        <v>0.1</v>
      </c>
      <c r="J30" s="37">
        <v>0.1</v>
      </c>
      <c r="K30" s="37">
        <v>0.1</v>
      </c>
      <c r="L30" s="37">
        <v>0.1</v>
      </c>
      <c r="M30" s="35">
        <v>0.1</v>
      </c>
      <c r="N30" s="170"/>
      <c r="O30" s="170"/>
      <c r="P30" s="170">
        <v>0.1</v>
      </c>
      <c r="Q30" s="170"/>
      <c r="R30" s="170"/>
      <c r="S30" s="170">
        <v>0.1</v>
      </c>
      <c r="T30" s="170"/>
      <c r="U30" s="170"/>
      <c r="V30" s="174">
        <v>0.1</v>
      </c>
      <c r="Y30" s="855"/>
      <c r="Z30" s="856"/>
      <c r="AA30" s="759"/>
      <c r="AB30" s="753"/>
      <c r="AC30" s="851"/>
      <c r="AD30" s="831"/>
      <c r="AE30" s="831"/>
      <c r="AF30" s="839"/>
    </row>
    <row r="31" spans="2:32" ht="13.8" thickBot="1" x14ac:dyDescent="0.3">
      <c r="B31" s="801" t="s">
        <v>109</v>
      </c>
      <c r="C31" s="284"/>
      <c r="D31" s="285"/>
      <c r="E31" s="37">
        <v>0.1</v>
      </c>
      <c r="F31" s="38">
        <v>0.1</v>
      </c>
      <c r="G31" s="38">
        <v>0.1</v>
      </c>
      <c r="H31" s="38">
        <v>0.1</v>
      </c>
      <c r="I31" s="38">
        <v>0.1</v>
      </c>
      <c r="J31" s="38">
        <v>0.1</v>
      </c>
      <c r="K31" s="38">
        <v>0.1</v>
      </c>
      <c r="L31" s="38">
        <v>0.1</v>
      </c>
      <c r="M31" s="9">
        <v>0.1</v>
      </c>
      <c r="N31" s="170"/>
      <c r="O31" s="170"/>
      <c r="P31" s="170">
        <v>0.2</v>
      </c>
      <c r="Q31" s="170"/>
      <c r="R31" s="170"/>
      <c r="S31" s="170">
        <v>0.2</v>
      </c>
      <c r="T31" s="170"/>
      <c r="U31" s="170"/>
      <c r="V31" s="174">
        <v>0.2</v>
      </c>
      <c r="Y31" s="857"/>
      <c r="Z31" s="858"/>
      <c r="AA31" s="840" t="s">
        <v>246</v>
      </c>
      <c r="AB31" s="841"/>
      <c r="AC31" s="47">
        <v>0.96</v>
      </c>
      <c r="AD31" s="46">
        <v>0.92</v>
      </c>
      <c r="AE31" s="46">
        <v>0.88</v>
      </c>
      <c r="AF31" s="47">
        <v>0.85</v>
      </c>
    </row>
    <row r="32" spans="2:32" x14ac:dyDescent="0.25">
      <c r="B32" s="801" t="s">
        <v>110</v>
      </c>
      <c r="C32" s="284"/>
      <c r="D32" s="285"/>
      <c r="E32" s="38">
        <v>2.2000000000000002</v>
      </c>
      <c r="F32" s="38">
        <v>0.7</v>
      </c>
      <c r="G32" s="38">
        <v>1.3</v>
      </c>
      <c r="H32" s="38">
        <v>0.6</v>
      </c>
      <c r="I32" s="38">
        <v>0.4</v>
      </c>
      <c r="J32" s="38">
        <v>0.5</v>
      </c>
      <c r="K32" s="38">
        <v>0.3</v>
      </c>
      <c r="L32" s="38">
        <v>0.3</v>
      </c>
      <c r="M32" s="9">
        <v>0.3</v>
      </c>
      <c r="N32" s="170"/>
      <c r="O32" s="170"/>
      <c r="P32" s="170">
        <v>0.3</v>
      </c>
      <c r="Q32" s="170"/>
      <c r="R32" s="170"/>
      <c r="S32" s="170">
        <v>0.3</v>
      </c>
      <c r="T32" s="170"/>
      <c r="U32" s="170"/>
      <c r="V32" s="174">
        <v>0.3</v>
      </c>
      <c r="Y32" s="92" t="s">
        <v>248</v>
      </c>
      <c r="Z32" s="859" t="s">
        <v>250</v>
      </c>
      <c r="AA32" s="860"/>
      <c r="AB32" s="860"/>
      <c r="AC32" s="860"/>
      <c r="AD32" s="860"/>
      <c r="AE32" s="860"/>
      <c r="AF32" s="860"/>
    </row>
    <row r="33" spans="2:32" x14ac:dyDescent="0.25">
      <c r="B33" s="801" t="s">
        <v>111</v>
      </c>
      <c r="C33" s="284"/>
      <c r="D33" s="285"/>
      <c r="E33" s="38">
        <v>24</v>
      </c>
      <c r="F33" s="38">
        <v>24.7</v>
      </c>
      <c r="G33" s="38">
        <v>24.4</v>
      </c>
      <c r="H33" s="38">
        <v>9.4</v>
      </c>
      <c r="I33" s="38">
        <v>14.4</v>
      </c>
      <c r="J33" s="38">
        <v>12.2</v>
      </c>
      <c r="K33" s="38">
        <v>3.2</v>
      </c>
      <c r="L33" s="38">
        <v>8.1</v>
      </c>
      <c r="M33" s="9">
        <v>6.4</v>
      </c>
      <c r="N33" s="170"/>
      <c r="O33" s="170"/>
      <c r="P33" s="170">
        <v>11</v>
      </c>
      <c r="Q33" s="170"/>
      <c r="R33" s="170"/>
      <c r="S33" s="170">
        <v>11</v>
      </c>
      <c r="T33" s="170"/>
      <c r="U33" s="170"/>
      <c r="V33" s="174">
        <v>11</v>
      </c>
      <c r="Y33" s="93"/>
      <c r="Z33" s="270"/>
      <c r="AA33" s="270"/>
      <c r="AB33" s="270"/>
      <c r="AC33" s="270"/>
      <c r="AD33" s="270"/>
      <c r="AE33" s="270"/>
      <c r="AF33" s="270"/>
    </row>
    <row r="34" spans="2:32" ht="13.8" thickBot="1" x14ac:dyDescent="0.3">
      <c r="B34" s="802" t="s">
        <v>150</v>
      </c>
      <c r="C34" s="780"/>
      <c r="D34" s="781"/>
      <c r="E34" s="38">
        <v>1.1000000000000001</v>
      </c>
      <c r="F34" s="38">
        <v>2</v>
      </c>
      <c r="G34" s="38">
        <v>1.6</v>
      </c>
      <c r="H34" s="38">
        <v>0.4</v>
      </c>
      <c r="I34" s="38">
        <v>1</v>
      </c>
      <c r="J34" s="38">
        <v>0.8</v>
      </c>
      <c r="K34" s="38">
        <v>0.3</v>
      </c>
      <c r="L34" s="38">
        <v>1.8</v>
      </c>
      <c r="M34" s="9">
        <v>0.5</v>
      </c>
      <c r="N34" s="170"/>
      <c r="O34" s="170"/>
      <c r="P34" s="170">
        <v>1.7</v>
      </c>
      <c r="Q34" s="170"/>
      <c r="R34" s="170"/>
      <c r="S34" s="170">
        <v>1.7</v>
      </c>
      <c r="T34" s="170"/>
      <c r="U34" s="170"/>
      <c r="V34" s="176">
        <v>1.7</v>
      </c>
      <c r="Y34" s="94"/>
      <c r="Z34" s="92" t="s">
        <v>249</v>
      </c>
      <c r="AA34" s="95"/>
      <c r="AB34" s="95"/>
      <c r="AC34" s="95"/>
      <c r="AD34" s="95"/>
      <c r="AE34" s="95"/>
      <c r="AF34" s="95"/>
    </row>
    <row r="35" spans="2:32" ht="14.4" thickTop="1" thickBot="1" x14ac:dyDescent="0.3">
      <c r="B35" s="819" t="s">
        <v>113</v>
      </c>
      <c r="C35" s="820"/>
      <c r="D35" s="821"/>
      <c r="E35" s="54">
        <f t="shared" ref="E35:V35" si="0">SUM(E29:E34)</f>
        <v>28.3</v>
      </c>
      <c r="F35" s="54">
        <f t="shared" si="0"/>
        <v>30.2</v>
      </c>
      <c r="G35" s="54">
        <f t="shared" si="0"/>
        <v>29.4</v>
      </c>
      <c r="H35" s="54">
        <f t="shared" si="0"/>
        <v>11.200000000000001</v>
      </c>
      <c r="I35" s="54">
        <f t="shared" si="0"/>
        <v>17.399999999999999</v>
      </c>
      <c r="J35" s="54">
        <f t="shared" si="0"/>
        <v>14.7</v>
      </c>
      <c r="K35" s="54">
        <f t="shared" si="0"/>
        <v>4</v>
      </c>
      <c r="L35" s="54">
        <f t="shared" si="0"/>
        <v>10.700000000000001</v>
      </c>
      <c r="M35" s="40">
        <f t="shared" si="0"/>
        <v>7.6000000000000005</v>
      </c>
      <c r="N35" s="54">
        <f t="shared" si="0"/>
        <v>0</v>
      </c>
      <c r="O35" s="54">
        <f t="shared" si="0"/>
        <v>0</v>
      </c>
      <c r="P35" s="54">
        <f t="shared" si="0"/>
        <v>14.299999999999999</v>
      </c>
      <c r="Q35" s="54">
        <f t="shared" si="0"/>
        <v>0</v>
      </c>
      <c r="R35" s="54">
        <f t="shared" si="0"/>
        <v>0</v>
      </c>
      <c r="S35" s="54">
        <f t="shared" si="0"/>
        <v>14.299999999999999</v>
      </c>
      <c r="T35" s="54">
        <f t="shared" si="0"/>
        <v>0</v>
      </c>
      <c r="U35" s="54">
        <f t="shared" si="0"/>
        <v>0</v>
      </c>
      <c r="V35" s="40">
        <f t="shared" si="0"/>
        <v>14.299999999999999</v>
      </c>
    </row>
    <row r="36" spans="2:32" x14ac:dyDescent="0.25">
      <c r="B36" s="816" t="s">
        <v>151</v>
      </c>
      <c r="C36" s="817"/>
      <c r="D36" s="817"/>
      <c r="E36" s="817"/>
      <c r="F36" s="817"/>
      <c r="G36" s="817"/>
      <c r="H36" s="817"/>
      <c r="I36" s="817"/>
      <c r="J36" s="817"/>
      <c r="K36" s="817"/>
      <c r="L36" s="817"/>
      <c r="M36" s="817"/>
      <c r="N36" s="279" t="s">
        <v>151</v>
      </c>
      <c r="O36" s="849"/>
      <c r="P36" s="849"/>
      <c r="Q36" s="849"/>
      <c r="R36" s="849"/>
      <c r="S36" s="849"/>
      <c r="T36" s="849"/>
      <c r="U36" s="849"/>
      <c r="V36" s="849"/>
    </row>
    <row r="37" spans="2:32" x14ac:dyDescent="0.25">
      <c r="B37" s="822" t="s">
        <v>115</v>
      </c>
      <c r="C37" s="299"/>
      <c r="D37" s="300"/>
      <c r="E37" s="38">
        <v>27.5</v>
      </c>
      <c r="F37" s="38">
        <v>21</v>
      </c>
      <c r="G37" s="38">
        <v>23.7</v>
      </c>
      <c r="H37" s="38">
        <v>53.2</v>
      </c>
      <c r="I37" s="38">
        <v>35.4</v>
      </c>
      <c r="J37" s="38">
        <v>43.1</v>
      </c>
      <c r="K37" s="38">
        <v>33.6</v>
      </c>
      <c r="L37" s="38">
        <v>24.2</v>
      </c>
      <c r="M37" s="53">
        <v>27.4</v>
      </c>
      <c r="N37" s="171"/>
      <c r="O37" s="171"/>
      <c r="P37" s="171">
        <v>43</v>
      </c>
      <c r="Q37" s="171"/>
      <c r="R37" s="171"/>
      <c r="S37" s="171">
        <v>43</v>
      </c>
      <c r="T37" s="171"/>
      <c r="U37" s="171"/>
      <c r="V37" s="172">
        <v>43</v>
      </c>
    </row>
    <row r="38" spans="2:32" x14ac:dyDescent="0.25">
      <c r="B38" s="818" t="s">
        <v>116</v>
      </c>
      <c r="C38" s="284"/>
      <c r="D38" s="285"/>
      <c r="E38" s="39">
        <v>8.1</v>
      </c>
      <c r="F38" s="38">
        <v>3.2</v>
      </c>
      <c r="G38" s="38">
        <v>5.2</v>
      </c>
      <c r="H38" s="38">
        <v>6</v>
      </c>
      <c r="I38" s="38">
        <v>2.5</v>
      </c>
      <c r="J38" s="38">
        <v>4</v>
      </c>
      <c r="K38" s="38">
        <v>8</v>
      </c>
      <c r="L38" s="38">
        <v>4</v>
      </c>
      <c r="M38" s="53">
        <v>5.4</v>
      </c>
      <c r="N38" s="173"/>
      <c r="O38" s="170"/>
      <c r="P38" s="170">
        <v>7.7</v>
      </c>
      <c r="Q38" s="170"/>
      <c r="R38" s="170"/>
      <c r="S38" s="170">
        <v>7.7</v>
      </c>
      <c r="T38" s="170"/>
      <c r="U38" s="170"/>
      <c r="V38" s="174">
        <v>7.7</v>
      </c>
    </row>
    <row r="39" spans="2:32" x14ac:dyDescent="0.25">
      <c r="B39" s="818" t="s">
        <v>117</v>
      </c>
      <c r="C39" s="284"/>
      <c r="D39" s="285"/>
      <c r="E39" s="38">
        <v>26</v>
      </c>
      <c r="F39" s="38">
        <v>29.2</v>
      </c>
      <c r="G39" s="38">
        <v>27.8</v>
      </c>
      <c r="H39" s="38">
        <v>21</v>
      </c>
      <c r="I39" s="38">
        <v>26.6</v>
      </c>
      <c r="J39" s="38">
        <v>24.2</v>
      </c>
      <c r="K39" s="38">
        <v>40.299999999999997</v>
      </c>
      <c r="L39" s="38">
        <v>43.8</v>
      </c>
      <c r="M39" s="53">
        <v>42.6</v>
      </c>
      <c r="N39" s="170"/>
      <c r="O39" s="170"/>
      <c r="P39" s="170">
        <v>23</v>
      </c>
      <c r="Q39" s="170"/>
      <c r="R39" s="170"/>
      <c r="S39" s="170">
        <v>23</v>
      </c>
      <c r="T39" s="170"/>
      <c r="U39" s="170"/>
      <c r="V39" s="174">
        <v>23</v>
      </c>
    </row>
    <row r="40" spans="2:32" x14ac:dyDescent="0.25">
      <c r="B40" s="818" t="s">
        <v>118</v>
      </c>
      <c r="C40" s="284"/>
      <c r="D40" s="285"/>
      <c r="E40" s="38">
        <v>5.0999999999999996</v>
      </c>
      <c r="F40" s="38">
        <v>13.1</v>
      </c>
      <c r="G40" s="38">
        <v>9.6999999999999993</v>
      </c>
      <c r="H40" s="38">
        <v>4.4000000000000004</v>
      </c>
      <c r="I40" s="38">
        <v>14.4</v>
      </c>
      <c r="J40" s="38">
        <v>10.1</v>
      </c>
      <c r="K40" s="38">
        <v>5.0999999999999996</v>
      </c>
      <c r="L40" s="38">
        <v>15.3</v>
      </c>
      <c r="M40" s="53">
        <v>11.8</v>
      </c>
      <c r="N40" s="170"/>
      <c r="O40" s="170"/>
      <c r="P40" s="170">
        <v>9</v>
      </c>
      <c r="Q40" s="170"/>
      <c r="R40" s="170"/>
      <c r="S40" s="170">
        <v>9</v>
      </c>
      <c r="T40" s="170"/>
      <c r="U40" s="170"/>
      <c r="V40" s="174">
        <v>9</v>
      </c>
    </row>
    <row r="41" spans="2:32" ht="13.8" thickBot="1" x14ac:dyDescent="0.3">
      <c r="B41" s="802" t="s">
        <v>119</v>
      </c>
      <c r="C41" s="780"/>
      <c r="D41" s="781"/>
      <c r="E41" s="38">
        <v>5</v>
      </c>
      <c r="F41" s="38">
        <v>3.3</v>
      </c>
      <c r="G41" s="38">
        <v>4.2</v>
      </c>
      <c r="H41" s="38">
        <v>4.2</v>
      </c>
      <c r="I41" s="38">
        <v>3.7</v>
      </c>
      <c r="J41" s="38">
        <v>3.9</v>
      </c>
      <c r="K41" s="38">
        <v>9</v>
      </c>
      <c r="L41" s="38">
        <v>2</v>
      </c>
      <c r="M41" s="53">
        <v>5.2</v>
      </c>
      <c r="N41" s="175"/>
      <c r="O41" s="175"/>
      <c r="P41" s="175">
        <v>3</v>
      </c>
      <c r="Q41" s="175"/>
      <c r="R41" s="175"/>
      <c r="S41" s="175">
        <v>3</v>
      </c>
      <c r="T41" s="175"/>
      <c r="U41" s="175"/>
      <c r="V41" s="176">
        <v>3</v>
      </c>
    </row>
    <row r="42" spans="2:32" ht="14.4" thickTop="1" thickBot="1" x14ac:dyDescent="0.3">
      <c r="B42" s="819" t="s">
        <v>152</v>
      </c>
      <c r="C42" s="820"/>
      <c r="D42" s="821"/>
      <c r="E42" s="54">
        <f t="shared" ref="E42:V42" si="1">SUM(E37:E41)</f>
        <v>71.7</v>
      </c>
      <c r="F42" s="54">
        <f t="shared" si="1"/>
        <v>69.8</v>
      </c>
      <c r="G42" s="54">
        <f t="shared" si="1"/>
        <v>70.600000000000009</v>
      </c>
      <c r="H42" s="54">
        <f t="shared" si="1"/>
        <v>88.800000000000011</v>
      </c>
      <c r="I42" s="54">
        <f t="shared" si="1"/>
        <v>82.600000000000009</v>
      </c>
      <c r="J42" s="54">
        <f t="shared" si="1"/>
        <v>85.3</v>
      </c>
      <c r="K42" s="54">
        <f t="shared" si="1"/>
        <v>96</v>
      </c>
      <c r="L42" s="54">
        <f t="shared" si="1"/>
        <v>89.3</v>
      </c>
      <c r="M42" s="40">
        <f t="shared" si="1"/>
        <v>92.4</v>
      </c>
      <c r="N42" s="54">
        <f t="shared" si="1"/>
        <v>0</v>
      </c>
      <c r="O42" s="54">
        <f t="shared" si="1"/>
        <v>0</v>
      </c>
      <c r="P42" s="54">
        <f t="shared" si="1"/>
        <v>85.7</v>
      </c>
      <c r="Q42" s="54">
        <f t="shared" si="1"/>
        <v>0</v>
      </c>
      <c r="R42" s="54">
        <f t="shared" si="1"/>
        <v>0</v>
      </c>
      <c r="S42" s="54">
        <f t="shared" si="1"/>
        <v>85.7</v>
      </c>
      <c r="T42" s="54">
        <f t="shared" si="1"/>
        <v>0</v>
      </c>
      <c r="U42" s="54">
        <f t="shared" si="1"/>
        <v>0</v>
      </c>
      <c r="V42" s="40">
        <f t="shared" si="1"/>
        <v>85.7</v>
      </c>
    </row>
    <row r="43" spans="2:32" ht="13.8" thickBot="1" x14ac:dyDescent="0.3">
      <c r="B43" s="813" t="s">
        <v>153</v>
      </c>
      <c r="C43" s="814"/>
      <c r="D43" s="815"/>
      <c r="E43" s="41">
        <f t="shared" ref="E43:V43" si="2">+E35+E42</f>
        <v>100</v>
      </c>
      <c r="F43" s="41">
        <f t="shared" si="2"/>
        <v>100</v>
      </c>
      <c r="G43" s="41">
        <f t="shared" si="2"/>
        <v>100</v>
      </c>
      <c r="H43" s="41">
        <f t="shared" si="2"/>
        <v>100.00000000000001</v>
      </c>
      <c r="I43" s="41">
        <f t="shared" si="2"/>
        <v>100</v>
      </c>
      <c r="J43" s="41">
        <f t="shared" si="2"/>
        <v>100</v>
      </c>
      <c r="K43" s="41">
        <f t="shared" si="2"/>
        <v>100</v>
      </c>
      <c r="L43" s="41">
        <f t="shared" si="2"/>
        <v>100</v>
      </c>
      <c r="M43" s="42">
        <f t="shared" si="2"/>
        <v>100</v>
      </c>
      <c r="N43" s="41">
        <f t="shared" si="2"/>
        <v>0</v>
      </c>
      <c r="O43" s="41">
        <f t="shared" si="2"/>
        <v>0</v>
      </c>
      <c r="P43" s="41">
        <f t="shared" si="2"/>
        <v>100</v>
      </c>
      <c r="Q43" s="41">
        <f t="shared" si="2"/>
        <v>0</v>
      </c>
      <c r="R43" s="41">
        <f t="shared" si="2"/>
        <v>0</v>
      </c>
      <c r="S43" s="41">
        <f t="shared" si="2"/>
        <v>100</v>
      </c>
      <c r="T43" s="41">
        <f t="shared" si="2"/>
        <v>0</v>
      </c>
      <c r="U43" s="41">
        <f t="shared" si="2"/>
        <v>0</v>
      </c>
      <c r="V43" s="42">
        <f t="shared" si="2"/>
        <v>100</v>
      </c>
    </row>
    <row r="44" spans="2:32" x14ac:dyDescent="0.25">
      <c r="B44" s="188" t="s">
        <v>352</v>
      </c>
    </row>
    <row r="46" spans="2:32" x14ac:dyDescent="0.25">
      <c r="B46" s="716" t="s">
        <v>373</v>
      </c>
      <c r="C46" s="718"/>
      <c r="D46" s="718"/>
      <c r="E46" s="718"/>
      <c r="F46" s="718"/>
      <c r="G46" s="718"/>
      <c r="H46" s="666"/>
    </row>
    <row r="47" spans="2:32" ht="13.8" thickBot="1" x14ac:dyDescent="0.3">
      <c r="B47" s="708"/>
      <c r="C47" s="708"/>
      <c r="D47" s="708"/>
      <c r="E47" s="708"/>
      <c r="F47" s="708"/>
      <c r="G47" s="708"/>
      <c r="H47" s="848"/>
    </row>
    <row r="48" spans="2:32" ht="15.6" x14ac:dyDescent="0.35">
      <c r="B48" s="847" t="s">
        <v>251</v>
      </c>
      <c r="C48" s="432"/>
      <c r="D48" s="432"/>
      <c r="E48" s="845" t="s">
        <v>253</v>
      </c>
      <c r="F48" s="543"/>
      <c r="G48" s="543"/>
      <c r="H48" s="846"/>
    </row>
    <row r="49" spans="2:8" x14ac:dyDescent="0.25">
      <c r="B49" s="833" t="s">
        <v>203</v>
      </c>
      <c r="C49" s="834"/>
      <c r="D49" s="166" t="s">
        <v>202</v>
      </c>
      <c r="E49" s="100" t="s">
        <v>252</v>
      </c>
      <c r="F49" s="101"/>
      <c r="G49" s="102" t="s">
        <v>147</v>
      </c>
      <c r="H49" s="60"/>
    </row>
    <row r="50" spans="2:8" x14ac:dyDescent="0.25">
      <c r="B50" s="728" t="s">
        <v>215</v>
      </c>
      <c r="C50" s="282"/>
      <c r="D50" s="306"/>
      <c r="E50" s="832">
        <v>0.26</v>
      </c>
      <c r="F50" s="265"/>
      <c r="G50" s="807">
        <v>0.3</v>
      </c>
      <c r="H50" s="808"/>
    </row>
    <row r="51" spans="2:8" x14ac:dyDescent="0.25">
      <c r="B51" s="728" t="s">
        <v>216</v>
      </c>
      <c r="C51" s="282"/>
      <c r="D51" s="306"/>
      <c r="E51" s="832">
        <v>0.24399999999999999</v>
      </c>
      <c r="F51" s="265"/>
      <c r="G51" s="807">
        <v>0.3</v>
      </c>
      <c r="H51" s="808"/>
    </row>
    <row r="52" spans="2:8" ht="13.8" thickBot="1" x14ac:dyDescent="0.3">
      <c r="B52" s="811" t="s">
        <v>217</v>
      </c>
      <c r="C52" s="535"/>
      <c r="D52" s="812"/>
      <c r="E52" s="806">
        <v>0.28599999999999998</v>
      </c>
      <c r="F52" s="670"/>
      <c r="G52" s="809">
        <v>0.3</v>
      </c>
      <c r="H52" s="810"/>
    </row>
    <row r="53" spans="2:8" x14ac:dyDescent="0.25">
      <c r="B53" s="188" t="s">
        <v>352</v>
      </c>
    </row>
  </sheetData>
  <mergeCells count="172">
    <mergeCell ref="Z32:AF33"/>
    <mergeCell ref="Z16:AF17"/>
    <mergeCell ref="Y21:AF22"/>
    <mergeCell ref="Y23:Z26"/>
    <mergeCell ref="AA23:AB26"/>
    <mergeCell ref="AC23:AF24"/>
    <mergeCell ref="AC25:AC26"/>
    <mergeCell ref="AD25:AD26"/>
    <mergeCell ref="AE25:AE26"/>
    <mergeCell ref="AF25:AF26"/>
    <mergeCell ref="AA27:AB28"/>
    <mergeCell ref="AC27:AC28"/>
    <mergeCell ref="AD27:AD28"/>
    <mergeCell ref="AE27:AE28"/>
    <mergeCell ref="AF27:AF28"/>
    <mergeCell ref="Y29:Z31"/>
    <mergeCell ref="AA29:AB30"/>
    <mergeCell ref="AC29:AC30"/>
    <mergeCell ref="AD29:AD30"/>
    <mergeCell ref="AE29:AE30"/>
    <mergeCell ref="AF11:AF12"/>
    <mergeCell ref="AC13:AC14"/>
    <mergeCell ref="AD13:AD14"/>
    <mergeCell ref="AE13:AE14"/>
    <mergeCell ref="AF13:AF14"/>
    <mergeCell ref="AC11:AC12"/>
    <mergeCell ref="AD11:AD12"/>
    <mergeCell ref="AA11:AB12"/>
    <mergeCell ref="Y13:Z15"/>
    <mergeCell ref="AA13:AB14"/>
    <mergeCell ref="AA15:AB15"/>
    <mergeCell ref="Y5:AF6"/>
    <mergeCell ref="AC7:AF8"/>
    <mergeCell ref="AC9:AC10"/>
    <mergeCell ref="AD9:AD10"/>
    <mergeCell ref="AE9:AE10"/>
    <mergeCell ref="AE11:AE12"/>
    <mergeCell ref="E50:F50"/>
    <mergeCell ref="E51:F51"/>
    <mergeCell ref="B49:C49"/>
    <mergeCell ref="Y7:Z10"/>
    <mergeCell ref="AA7:AB10"/>
    <mergeCell ref="AF29:AF30"/>
    <mergeCell ref="AA31:AB31"/>
    <mergeCell ref="Y27:Z28"/>
    <mergeCell ref="AF9:AF10"/>
    <mergeCell ref="Y11:Z12"/>
    <mergeCell ref="E48:H48"/>
    <mergeCell ref="B48:D48"/>
    <mergeCell ref="B46:H47"/>
    <mergeCell ref="N36:V36"/>
    <mergeCell ref="B29:D29"/>
    <mergeCell ref="B30:D30"/>
    <mergeCell ref="B32:D32"/>
    <mergeCell ref="B35:D35"/>
    <mergeCell ref="E52:F52"/>
    <mergeCell ref="G50:H50"/>
    <mergeCell ref="G51:H51"/>
    <mergeCell ref="G52:H52"/>
    <mergeCell ref="B50:D50"/>
    <mergeCell ref="B51:D51"/>
    <mergeCell ref="B52:D52"/>
    <mergeCell ref="B43:D43"/>
    <mergeCell ref="B36:M36"/>
    <mergeCell ref="B38:D38"/>
    <mergeCell ref="B39:D39"/>
    <mergeCell ref="B40:D40"/>
    <mergeCell ref="B41:D41"/>
    <mergeCell ref="B42:D42"/>
    <mergeCell ref="B37:D37"/>
    <mergeCell ref="B31:D31"/>
    <mergeCell ref="B33:D33"/>
    <mergeCell ref="B34:D34"/>
    <mergeCell ref="N28:V28"/>
    <mergeCell ref="B28:M28"/>
    <mergeCell ref="U26:U27"/>
    <mergeCell ref="V26:V27"/>
    <mergeCell ref="O26:O27"/>
    <mergeCell ref="P26:P27"/>
    <mergeCell ref="F26:F27"/>
    <mergeCell ref="G26:G27"/>
    <mergeCell ref="H26:H27"/>
    <mergeCell ref="N26:N27"/>
    <mergeCell ref="Q26:Q27"/>
    <mergeCell ref="R26:R27"/>
    <mergeCell ref="S26:S27"/>
    <mergeCell ref="T26:T27"/>
    <mergeCell ref="I26:I27"/>
    <mergeCell ref="J26:J27"/>
    <mergeCell ref="K26:K27"/>
    <mergeCell ref="L26:L27"/>
    <mergeCell ref="M26:M27"/>
    <mergeCell ref="B18:D18"/>
    <mergeCell ref="B27:C27"/>
    <mergeCell ref="B23:D26"/>
    <mergeCell ref="B21:V22"/>
    <mergeCell ref="Q24:S25"/>
    <mergeCell ref="O18:P18"/>
    <mergeCell ref="O17:P17"/>
    <mergeCell ref="E18:F18"/>
    <mergeCell ref="G18:H18"/>
    <mergeCell ref="T24:V25"/>
    <mergeCell ref="E24:G25"/>
    <mergeCell ref="H24:J25"/>
    <mergeCell ref="K24:M25"/>
    <mergeCell ref="E23:M23"/>
    <mergeCell ref="N23:V23"/>
    <mergeCell ref="N24:P25"/>
    <mergeCell ref="E26:E27"/>
    <mergeCell ref="I18:J18"/>
    <mergeCell ref="K18:L18"/>
    <mergeCell ref="M18:N18"/>
    <mergeCell ref="O16:P16"/>
    <mergeCell ref="E17:F17"/>
    <mergeCell ref="G17:H17"/>
    <mergeCell ref="I17:J17"/>
    <mergeCell ref="K17:L17"/>
    <mergeCell ref="M17:N17"/>
    <mergeCell ref="K16:L16"/>
    <mergeCell ref="M16:N16"/>
    <mergeCell ref="B15:D15"/>
    <mergeCell ref="B17:D17"/>
    <mergeCell ref="B14:D14"/>
    <mergeCell ref="E14:F14"/>
    <mergeCell ref="G14:H14"/>
    <mergeCell ref="E16:F16"/>
    <mergeCell ref="G16:H16"/>
    <mergeCell ref="I16:J16"/>
    <mergeCell ref="B16:D16"/>
    <mergeCell ref="E15:F15"/>
    <mergeCell ref="G15:H15"/>
    <mergeCell ref="I13:J13"/>
    <mergeCell ref="K13:L13"/>
    <mergeCell ref="I15:J15"/>
    <mergeCell ref="I14:J14"/>
    <mergeCell ref="E13:F13"/>
    <mergeCell ref="O13:P13"/>
    <mergeCell ref="O15:P15"/>
    <mergeCell ref="K12:L12"/>
    <mergeCell ref="M12:N12"/>
    <mergeCell ref="O12:P12"/>
    <mergeCell ref="O14:P14"/>
    <mergeCell ref="K15:L15"/>
    <mergeCell ref="M15:N15"/>
    <mergeCell ref="K14:L14"/>
    <mergeCell ref="G12:H12"/>
    <mergeCell ref="I12:J12"/>
    <mergeCell ref="M14:N14"/>
    <mergeCell ref="B13:D13"/>
    <mergeCell ref="B12:D12"/>
    <mergeCell ref="E12:F12"/>
    <mergeCell ref="M13:N13"/>
    <mergeCell ref="B5:P6"/>
    <mergeCell ref="M11:N11"/>
    <mergeCell ref="O11:P11"/>
    <mergeCell ref="B11:D11"/>
    <mergeCell ref="E11:F11"/>
    <mergeCell ref="G11:H11"/>
    <mergeCell ref="I11:J11"/>
    <mergeCell ref="K11:L11"/>
    <mergeCell ref="B7:D9"/>
    <mergeCell ref="E7:P7"/>
    <mergeCell ref="K9:L10"/>
    <mergeCell ref="M9:N10"/>
    <mergeCell ref="B10:C10"/>
    <mergeCell ref="E8:J8"/>
    <mergeCell ref="K8:P8"/>
    <mergeCell ref="E9:F10"/>
    <mergeCell ref="G9:H10"/>
    <mergeCell ref="I9:J10"/>
    <mergeCell ref="O9:P10"/>
    <mergeCell ref="G13:H13"/>
  </mergeCells>
  <dataValidations count="1">
    <dataValidation type="list" allowBlank="1" showInputMessage="1" showErrorMessage="1" sqref="D10 D27 D49" xr:uid="{00000000-0002-0000-0600-000000000000}">
      <formula1>Local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3:L47"/>
  <sheetViews>
    <sheetView workbookViewId="0"/>
  </sheetViews>
  <sheetFormatPr defaultRowHeight="13.2" x14ac:dyDescent="0.25"/>
  <cols>
    <col min="2" max="2" width="11.44140625" bestFit="1" customWidth="1"/>
    <col min="4" max="4" width="15.33203125" bestFit="1" customWidth="1"/>
    <col min="6" max="6" width="12.6640625" bestFit="1" customWidth="1"/>
    <col min="8" max="8" width="12.6640625" bestFit="1" customWidth="1"/>
    <col min="10" max="10" width="15" customWidth="1"/>
    <col min="12" max="12" width="10.6640625" customWidth="1"/>
  </cols>
  <sheetData>
    <row r="3" spans="2:12" x14ac:dyDescent="0.25">
      <c r="B3" s="18" t="s">
        <v>132</v>
      </c>
      <c r="D3" s="18" t="s">
        <v>158</v>
      </c>
      <c r="F3" s="10" t="s">
        <v>159</v>
      </c>
    </row>
    <row r="4" spans="2:12" x14ac:dyDescent="0.25">
      <c r="B4" s="32">
        <v>9</v>
      </c>
      <c r="D4" s="32">
        <v>0</v>
      </c>
      <c r="F4" s="1">
        <v>1</v>
      </c>
    </row>
    <row r="5" spans="2:12" x14ac:dyDescent="0.25">
      <c r="B5" s="32">
        <v>9.5</v>
      </c>
      <c r="D5" s="32">
        <v>1</v>
      </c>
      <c r="F5" s="1">
        <v>2</v>
      </c>
    </row>
    <row r="6" spans="2:12" x14ac:dyDescent="0.25">
      <c r="B6" s="32">
        <v>10</v>
      </c>
      <c r="D6" s="32">
        <v>2</v>
      </c>
      <c r="F6" s="1">
        <v>3</v>
      </c>
    </row>
    <row r="7" spans="2:12" x14ac:dyDescent="0.25">
      <c r="B7" s="32">
        <v>10.5</v>
      </c>
      <c r="D7" s="32">
        <v>3</v>
      </c>
      <c r="F7" s="1">
        <v>4</v>
      </c>
    </row>
    <row r="8" spans="2:12" x14ac:dyDescent="0.25">
      <c r="B8" s="32">
        <v>11</v>
      </c>
      <c r="D8" s="32">
        <v>4</v>
      </c>
      <c r="F8" s="1">
        <v>5</v>
      </c>
    </row>
    <row r="9" spans="2:12" x14ac:dyDescent="0.25">
      <c r="B9" s="32">
        <v>11.5</v>
      </c>
      <c r="D9" s="32">
        <v>5</v>
      </c>
      <c r="F9" s="1">
        <v>6</v>
      </c>
    </row>
    <row r="10" spans="2:12" x14ac:dyDescent="0.25">
      <c r="B10" s="32">
        <v>12</v>
      </c>
      <c r="D10" s="32">
        <v>6</v>
      </c>
      <c r="F10" s="1">
        <v>7</v>
      </c>
    </row>
    <row r="11" spans="2:12" x14ac:dyDescent="0.25">
      <c r="D11" s="32">
        <v>7</v>
      </c>
    </row>
    <row r="12" spans="2:12" x14ac:dyDescent="0.25">
      <c r="D12" s="32">
        <v>8</v>
      </c>
    </row>
    <row r="15" spans="2:12" x14ac:dyDescent="0.25">
      <c r="H15" s="10" t="s">
        <v>167</v>
      </c>
      <c r="J15" s="10" t="s">
        <v>169</v>
      </c>
      <c r="L15" s="10" t="s">
        <v>200</v>
      </c>
    </row>
    <row r="16" spans="2:12" x14ac:dyDescent="0.25">
      <c r="D16" s="10" t="s">
        <v>131</v>
      </c>
      <c r="F16" s="10" t="s">
        <v>164</v>
      </c>
      <c r="H16" s="10" t="s">
        <v>168</v>
      </c>
      <c r="J16" s="10" t="s">
        <v>170</v>
      </c>
      <c r="L16" s="62" t="s">
        <v>201</v>
      </c>
    </row>
    <row r="17" spans="4:12" x14ac:dyDescent="0.25">
      <c r="D17" s="32" t="s">
        <v>160</v>
      </c>
      <c r="F17" s="32" t="s">
        <v>165</v>
      </c>
      <c r="H17" s="32" t="s">
        <v>165</v>
      </c>
      <c r="J17" s="32" t="s">
        <v>165</v>
      </c>
      <c r="L17" s="62" t="s">
        <v>202</v>
      </c>
    </row>
    <row r="18" spans="4:12" x14ac:dyDescent="0.25">
      <c r="D18" s="32" t="s">
        <v>161</v>
      </c>
      <c r="F18" s="32" t="s">
        <v>166</v>
      </c>
      <c r="H18" s="32" t="s">
        <v>166</v>
      </c>
      <c r="J18" s="32" t="s">
        <v>188</v>
      </c>
    </row>
    <row r="19" spans="4:12" x14ac:dyDescent="0.25">
      <c r="D19" s="62" t="s">
        <v>162</v>
      </c>
      <c r="F19" s="58" t="s">
        <v>334</v>
      </c>
      <c r="J19" s="32" t="s">
        <v>189</v>
      </c>
    </row>
    <row r="20" spans="4:12" x14ac:dyDescent="0.25">
      <c r="D20" s="32" t="s">
        <v>163</v>
      </c>
    </row>
    <row r="22" spans="4:12" x14ac:dyDescent="0.25">
      <c r="F22" s="10" t="s">
        <v>133</v>
      </c>
      <c r="H22" s="10" t="s">
        <v>134</v>
      </c>
      <c r="J22" s="10" t="s">
        <v>171</v>
      </c>
    </row>
    <row r="23" spans="4:12" x14ac:dyDescent="0.25">
      <c r="F23" s="32" t="s">
        <v>165</v>
      </c>
      <c r="H23" s="32" t="s">
        <v>165</v>
      </c>
      <c r="J23" s="32" t="s">
        <v>165</v>
      </c>
    </row>
    <row r="24" spans="4:12" x14ac:dyDescent="0.25">
      <c r="F24" s="32" t="s">
        <v>166</v>
      </c>
      <c r="H24" s="32" t="s">
        <v>166</v>
      </c>
      <c r="J24" s="32" t="s">
        <v>166</v>
      </c>
    </row>
    <row r="28" spans="4:12" x14ac:dyDescent="0.25">
      <c r="D28" s="62" t="s">
        <v>214</v>
      </c>
      <c r="F28" s="62" t="s">
        <v>218</v>
      </c>
      <c r="H28" s="62" t="s">
        <v>219</v>
      </c>
      <c r="J28" s="62" t="s">
        <v>220</v>
      </c>
      <c r="L28" s="10" t="s">
        <v>239</v>
      </c>
    </row>
    <row r="29" spans="4:12" x14ac:dyDescent="0.25">
      <c r="D29" s="62" t="s">
        <v>215</v>
      </c>
      <c r="F29" s="1">
        <v>0</v>
      </c>
      <c r="H29" s="1">
        <v>0</v>
      </c>
      <c r="J29" s="62" t="s">
        <v>165</v>
      </c>
      <c r="L29" s="62" t="s">
        <v>201</v>
      </c>
    </row>
    <row r="30" spans="4:12" x14ac:dyDescent="0.25">
      <c r="D30" s="62" t="s">
        <v>216</v>
      </c>
      <c r="F30" s="1">
        <v>1</v>
      </c>
      <c r="H30" s="1">
        <v>1</v>
      </c>
      <c r="J30" s="62" t="s">
        <v>166</v>
      </c>
      <c r="L30" s="62" t="s">
        <v>202</v>
      </c>
    </row>
    <row r="31" spans="4:12" x14ac:dyDescent="0.25">
      <c r="D31" s="62" t="s">
        <v>217</v>
      </c>
      <c r="F31" s="1">
        <v>2</v>
      </c>
      <c r="H31" s="1">
        <v>2</v>
      </c>
    </row>
    <row r="32" spans="4:12" x14ac:dyDescent="0.25">
      <c r="F32" s="1">
        <v>3</v>
      </c>
      <c r="H32" s="1">
        <v>3</v>
      </c>
    </row>
    <row r="33" spans="4:12" x14ac:dyDescent="0.25">
      <c r="F33" s="1">
        <v>4</v>
      </c>
      <c r="H33" s="1">
        <v>4</v>
      </c>
    </row>
    <row r="36" spans="4:12" x14ac:dyDescent="0.25">
      <c r="D36" s="10" t="s">
        <v>263</v>
      </c>
      <c r="F36" s="10" t="s">
        <v>266</v>
      </c>
      <c r="H36" s="10" t="s">
        <v>267</v>
      </c>
      <c r="J36" s="10" t="s">
        <v>273</v>
      </c>
      <c r="L36" s="10" t="s">
        <v>274</v>
      </c>
    </row>
    <row r="37" spans="4:12" x14ac:dyDescent="0.25">
      <c r="D37" s="1">
        <v>10</v>
      </c>
      <c r="F37" s="62" t="s">
        <v>264</v>
      </c>
      <c r="H37" s="62" t="s">
        <v>268</v>
      </c>
      <c r="J37" s="32">
        <v>0</v>
      </c>
      <c r="L37" s="1">
        <v>0</v>
      </c>
    </row>
    <row r="38" spans="4:12" x14ac:dyDescent="0.25">
      <c r="D38" s="1">
        <v>20</v>
      </c>
      <c r="F38" s="62" t="s">
        <v>265</v>
      </c>
      <c r="H38" s="109" t="s">
        <v>269</v>
      </c>
      <c r="J38" s="32">
        <v>1</v>
      </c>
      <c r="L38" s="1">
        <v>1</v>
      </c>
    </row>
    <row r="39" spans="4:12" x14ac:dyDescent="0.25">
      <c r="D39" s="1">
        <v>30</v>
      </c>
      <c r="F39" s="1"/>
      <c r="H39" s="110" t="s">
        <v>270</v>
      </c>
      <c r="J39" s="32">
        <v>2</v>
      </c>
      <c r="L39" s="1">
        <v>2</v>
      </c>
    </row>
    <row r="40" spans="4:12" x14ac:dyDescent="0.25">
      <c r="D40" s="1">
        <v>40</v>
      </c>
      <c r="F40" s="1"/>
      <c r="H40" s="110" t="s">
        <v>271</v>
      </c>
      <c r="J40" s="32">
        <v>3</v>
      </c>
    </row>
    <row r="41" spans="4:12" x14ac:dyDescent="0.25">
      <c r="D41" s="1">
        <v>50</v>
      </c>
      <c r="F41" s="1"/>
      <c r="H41" s="110" t="s">
        <v>272</v>
      </c>
      <c r="J41" s="32">
        <v>4</v>
      </c>
    </row>
    <row r="42" spans="4:12" x14ac:dyDescent="0.25">
      <c r="D42" s="1">
        <v>60</v>
      </c>
      <c r="F42" s="1"/>
      <c r="J42" s="32">
        <v>5</v>
      </c>
    </row>
    <row r="43" spans="4:12" x14ac:dyDescent="0.25">
      <c r="D43" s="1">
        <v>70</v>
      </c>
      <c r="F43" s="1"/>
      <c r="J43" s="32">
        <v>6</v>
      </c>
    </row>
    <row r="44" spans="4:12" x14ac:dyDescent="0.25">
      <c r="D44" s="1">
        <v>80</v>
      </c>
      <c r="F44" s="1"/>
      <c r="J44" s="32">
        <v>7</v>
      </c>
    </row>
    <row r="45" spans="4:12" x14ac:dyDescent="0.25">
      <c r="D45" s="1">
        <v>90</v>
      </c>
      <c r="F45" s="1"/>
      <c r="J45" s="32">
        <v>8</v>
      </c>
    </row>
    <row r="46" spans="4:12" x14ac:dyDescent="0.25">
      <c r="D46" s="1">
        <v>100</v>
      </c>
      <c r="J46" s="62">
        <v>9</v>
      </c>
    </row>
    <row r="47" spans="4:12" x14ac:dyDescent="0.25">
      <c r="J47" s="62">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380EC2-97F2-41B1-A65E-23FB616B255B}"/>
</file>

<file path=customXml/itemProps2.xml><?xml version="1.0" encoding="utf-8"?>
<ds:datastoreItem xmlns:ds="http://schemas.openxmlformats.org/officeDocument/2006/customXml" ds:itemID="{090B9CA2-CA2C-4015-887F-254C9D14A93D}"/>
</file>

<file path=customXml/itemProps3.xml><?xml version="1.0" encoding="utf-8"?>
<ds:datastoreItem xmlns:ds="http://schemas.openxmlformats.org/officeDocument/2006/customXml" ds:itemID="{BAF2723E-8536-4AB2-8D67-F0889A4609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Segment_1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LApproach</vt:lpstr>
      <vt:lpstr>Lighting</vt:lpstr>
      <vt:lpstr>Local</vt:lpstr>
      <vt:lpstr>LWidth</vt:lpstr>
      <vt:lpstr>MWidth</vt:lpstr>
      <vt:lpstr>PLane</vt:lpstr>
      <vt:lpstr>PLane2</vt:lpstr>
      <vt:lpstr>RApproach</vt:lpstr>
      <vt:lpstr>RHR</vt:lpstr>
      <vt:lpstr>Shld2</vt:lpstr>
      <vt:lpstr>SpEnforce</vt:lpstr>
      <vt:lpstr>Spiral</vt:lpstr>
      <vt:lpstr>Spiral2</vt:lpstr>
      <vt:lpstr>SSlope</vt:lpstr>
      <vt:lpstr>SType</vt:lpstr>
      <vt:lpstr>SWidth</vt:lpstr>
      <vt:lpstr>TWLTL</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Shihadah, Tariq/CHC</cp:lastModifiedBy>
  <cp:lastPrinted>2010-06-17T15:42:43Z</cp:lastPrinted>
  <dcterms:created xsi:type="dcterms:W3CDTF">2009-11-22T21:24:43Z</dcterms:created>
  <dcterms:modified xsi:type="dcterms:W3CDTF">2020-07-10T19:52:44Z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