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kdk93\OneDrive\Documents\HSM\HSM2 steering committee\spreadsheets\"/>
    </mc:Choice>
  </mc:AlternateContent>
  <xr:revisionPtr revIDLastSave="3" documentId="13_ncr:1_{A339CA78-3833-4BC8-B085-C69F0EB946A7}" xr6:coauthVersionLast="44" xr6:coauthVersionMax="44" xr10:uidLastSave="{3693DD44-CEA1-4AE2-880E-7034364D63F6}"/>
  <bookViews>
    <workbookView xWindow="28680" yWindow="-120" windowWidth="29040" windowHeight="15840" xr2:uid="{00000000-000D-0000-FFFF-FFFF00000000}"/>
  </bookViews>
  <sheets>
    <sheet name="Instructions" sheetId="23" r:id="rId1"/>
    <sheet name="Segment_1" sheetId="17" r:id="rId2"/>
    <sheet name="Intersection_1" sheetId="24" r:id="rId3"/>
    <sheet name="Summary Tables (Site Totals)" sheetId="20" r:id="rId4"/>
    <sheet name="Summary Tables (Project Total)" sheetId="19" r:id="rId5"/>
    <sheet name="Reference Tables (Segment)" sheetId="27" r:id="rId6"/>
    <sheet name="Reference Tables (Intersection)" sheetId="28"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IType2">'Construction - Do Not Delete'!$F$71:$F$74</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OffsetFO">'Construction - Do Not Delete'!$L$55:$L$61</definedName>
    <definedName name="OnStreet">'Construction - Do Not Delete'!$J$55:$J$58</definedName>
    <definedName name="OnStreetType">'Construction - Do Not Delete'!$J$55:$J$59</definedName>
    <definedName name="Phasing">'Construction - Do Not Delete'!$H$71:$H$74</definedName>
    <definedName name="Phasing2">'Construction - Do Not Delete'!$L$71:$L$75</definedName>
    <definedName name="PLane">'Construction - Do Not Delete'!$J$17:$J$18</definedName>
    <definedName name="PLane2">'Construction - Do Not Delete'!$J$17:$J$19</definedName>
    <definedName name="Posted">'Construction - Do Not Delete'!$N$55:$N$56</definedName>
    <definedName name="PresOrNot">'Construction - Do Not Delete'!$H$55:$H$56</definedName>
    <definedName name="_xlnm.Print_Area" localSheetId="2">Intersection_1!$A$1:$N$186</definedName>
    <definedName name="_xlnm.Print_Area" localSheetId="1">Segment_1!$A$1:$N$188</definedName>
    <definedName name="_xlnm.Print_Area" localSheetId="4">'Summary Tables (Project Total)'!$B$2:$O$102</definedName>
    <definedName name="_xlnm.Print_Area" localSheetId="3">'Summary Tables (Site Totals)'!$A$1:$L$101</definedName>
    <definedName name="Pspeed">'Construction - Do Not Delete'!$N$54</definedName>
    <definedName name="RApproach">'Construction - Do Not Delete'!$H$29:$H$33</definedName>
    <definedName name="RHR">'Construction - Do Not Delete'!$F$4:$F$10</definedName>
    <definedName name="RType">'Construction - Do Not Delete'!$D$55:$D$59</definedName>
    <definedName name="Shld2">'Construction - Do Not Delete'!$J$37:$J$47</definedName>
    <definedName name="SpEnforce">'Construction - Do Not Delete'!$J$23:$J$24</definedName>
    <definedName name="Spiral">'Construction - Do Not Delete'!$F$17:$F$18</definedName>
    <definedName name="SSlope">'Construction - Do Not Delete'!$H$37:$H$41</definedName>
    <definedName name="SType">'Construction - Do Not Delete'!$D$17:$D$20</definedName>
    <definedName name="SWidth">'Construction - Do Not Delete'!$D$4:$D$12</definedName>
    <definedName name="TLanes">'Construction - Do Not Delete'!$D$71:$D$75</definedName>
    <definedName name="TWLTL">'Construction - Do Not Delete'!$F$23:$F$24</definedName>
    <definedName name="UMedian">'Construction - Do Not Delete'!$F$56:$F$66</definedName>
    <definedName name="UMedian2">'Construction - Do Not Delete'!$F$56:$F$66</definedName>
    <definedName name="UMedWidth">'Construction - Do Not Delete'!$F$55:$F$66</definedName>
    <definedName name="UnsigApproach">'Construction - Do Not Delete'!$J$71:$J$73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1" i="20" l="1"/>
  <c r="G60" i="20"/>
  <c r="G40" i="20" l="1"/>
  <c r="J85" i="19"/>
  <c r="J77" i="19"/>
  <c r="E45" i="19"/>
  <c r="H29" i="19"/>
  <c r="F13" i="19"/>
  <c r="F53" i="20"/>
  <c r="F33" i="20"/>
  <c r="D16" i="19"/>
  <c r="I77" i="19"/>
  <c r="I73" i="19"/>
  <c r="D48" i="19"/>
  <c r="F25" i="19"/>
  <c r="F16" i="19"/>
  <c r="H73" i="20"/>
  <c r="G84" i="20"/>
  <c r="H35" i="20"/>
  <c r="D57" i="19"/>
  <c r="F29" i="19"/>
  <c r="J83" i="19"/>
  <c r="J75" i="19"/>
  <c r="H47" i="19"/>
  <c r="H39" i="19"/>
  <c r="E29" i="19"/>
  <c r="H24" i="19"/>
  <c r="H15" i="19"/>
  <c r="H86" i="20"/>
  <c r="H72" i="20"/>
  <c r="E47" i="20"/>
  <c r="J76" i="19"/>
  <c r="J73" i="19"/>
  <c r="E54" i="19"/>
  <c r="H38" i="19"/>
  <c r="D38" i="19"/>
  <c r="E27" i="19"/>
  <c r="F14" i="19"/>
  <c r="F55" i="20"/>
  <c r="G75" i="20"/>
  <c r="E50" i="20"/>
  <c r="F37" i="19"/>
  <c r="E44" i="20"/>
  <c r="H55" i="19"/>
  <c r="E50" i="19"/>
  <c r="E39" i="19"/>
  <c r="F19" i="19"/>
  <c r="E26" i="19"/>
  <c r="G86" i="20"/>
  <c r="H57" i="20"/>
  <c r="H36" i="20"/>
  <c r="F54" i="19"/>
  <c r="H56" i="19"/>
  <c r="H48" i="19"/>
  <c r="E35" i="19"/>
  <c r="E23" i="19"/>
  <c r="D55" i="20"/>
  <c r="H44" i="20"/>
  <c r="G72" i="20"/>
  <c r="F47" i="20"/>
  <c r="H16" i="19"/>
  <c r="E60" i="19"/>
  <c r="E59" i="19"/>
  <c r="D34" i="19"/>
  <c r="D35" i="19"/>
  <c r="E25" i="19"/>
  <c r="H82" i="20"/>
  <c r="G76" i="20"/>
  <c r="D53" i="20"/>
  <c r="F39" i="20"/>
  <c r="H46" i="20"/>
  <c r="J72" i="19"/>
  <c r="D25" i="19"/>
  <c r="F35" i="20"/>
  <c r="D58" i="19"/>
  <c r="E33" i="19"/>
  <c r="H13" i="19"/>
  <c r="H71" i="20"/>
  <c r="D13" i="19"/>
  <c r="H57" i="19"/>
  <c r="D15" i="19"/>
  <c r="F44" i="20"/>
  <c r="F58" i="19"/>
  <c r="H23" i="19"/>
  <c r="E59" i="20"/>
  <c r="D37" i="19"/>
  <c r="H28" i="19"/>
  <c r="D54" i="20"/>
  <c r="F55" i="19"/>
  <c r="H17" i="19"/>
  <c r="H77" i="20"/>
  <c r="D39" i="19"/>
  <c r="I81" i="19"/>
  <c r="D23" i="19"/>
  <c r="E57" i="19"/>
  <c r="H49" i="19"/>
  <c r="H36" i="19"/>
  <c r="F27" i="19"/>
  <c r="G82" i="20"/>
  <c r="H53" i="20"/>
  <c r="E49" i="20"/>
  <c r="F50" i="20"/>
  <c r="E57" i="20"/>
  <c r="I85" i="19"/>
  <c r="J78" i="19"/>
  <c r="H19" i="19"/>
  <c r="E19" i="19"/>
  <c r="E58" i="20"/>
  <c r="G80" i="20"/>
  <c r="D47" i="20"/>
  <c r="D49" i="19"/>
  <c r="D56" i="20"/>
  <c r="E55" i="19"/>
  <c r="I86" i="19"/>
  <c r="F46" i="19"/>
  <c r="E38" i="19"/>
  <c r="F28" i="19"/>
  <c r="E14" i="19"/>
  <c r="G77" i="20"/>
  <c r="E53" i="20"/>
  <c r="G81" i="20"/>
  <c r="F46" i="20"/>
  <c r="F34" i="19"/>
  <c r="J74" i="19"/>
  <c r="I78" i="19"/>
  <c r="F36" i="19"/>
  <c r="F35" i="19"/>
  <c r="E18" i="19"/>
  <c r="H26" i="19"/>
  <c r="E55" i="20"/>
  <c r="H80" i="20"/>
  <c r="E46" i="20"/>
  <c r="D46" i="19"/>
  <c r="D59" i="19"/>
  <c r="J82" i="19"/>
  <c r="E37" i="19"/>
  <c r="F48" i="19"/>
  <c r="D28" i="19"/>
  <c r="E13" i="19"/>
  <c r="E56" i="20"/>
  <c r="H58" i="20"/>
  <c r="H34" i="19"/>
  <c r="I83" i="19"/>
  <c r="H37" i="19"/>
  <c r="H44" i="19"/>
  <c r="E17" i="19"/>
  <c r="H18" i="19"/>
  <c r="H85" i="20"/>
  <c r="H59" i="20"/>
  <c r="H33" i="20"/>
  <c r="F60" i="19"/>
  <c r="F57" i="20"/>
  <c r="D55" i="19"/>
  <c r="I72" i="19"/>
  <c r="F49" i="19"/>
  <c r="D50" i="19"/>
  <c r="D24" i="19"/>
  <c r="H50" i="20"/>
  <c r="H54" i="20"/>
  <c r="F49" i="20"/>
  <c r="F48" i="20"/>
  <c r="D44" i="20"/>
  <c r="F57" i="19"/>
  <c r="J86" i="19"/>
  <c r="F38" i="19"/>
  <c r="H35" i="19"/>
  <c r="E28" i="19"/>
  <c r="H48" i="20"/>
  <c r="H84" i="20"/>
  <c r="H39" i="20"/>
  <c r="H54" i="19"/>
  <c r="F59" i="19"/>
  <c r="E56" i="19"/>
  <c r="E48" i="19"/>
  <c r="H45" i="19"/>
  <c r="D14" i="19"/>
  <c r="D29" i="19"/>
  <c r="G73" i="20"/>
  <c r="H81" i="20"/>
  <c r="F34" i="20"/>
  <c r="F44" i="19"/>
  <c r="H45" i="20"/>
  <c r="I84" i="19"/>
  <c r="D47" i="19"/>
  <c r="E47" i="19"/>
  <c r="H27" i="19"/>
  <c r="F58" i="20"/>
  <c r="H76" i="20"/>
  <c r="D49" i="20"/>
  <c r="G71" i="20"/>
  <c r="J87" i="19"/>
  <c r="H46" i="19"/>
  <c r="D26" i="19"/>
  <c r="D57" i="20"/>
  <c r="H37" i="20"/>
  <c r="I76" i="19"/>
  <c r="D33" i="19"/>
  <c r="D44" i="19"/>
  <c r="H14" i="19"/>
  <c r="H83" i="20"/>
  <c r="H25" i="19"/>
  <c r="E44" i="19"/>
  <c r="H47" i="20"/>
  <c r="D45" i="20"/>
  <c r="E58" i="19"/>
  <c r="F23" i="19"/>
  <c r="G83" i="20"/>
  <c r="F38" i="20"/>
  <c r="H60" i="19"/>
  <c r="H58" i="19"/>
  <c r="E49" i="19"/>
  <c r="E15" i="19"/>
  <c r="F37" i="20"/>
  <c r="J84" i="19"/>
  <c r="E34" i="19"/>
  <c r="D36" i="19"/>
  <c r="F15" i="19"/>
  <c r="F17" i="19"/>
  <c r="D45" i="19"/>
  <c r="H56" i="20"/>
  <c r="H38" i="20"/>
  <c r="D27" i="19"/>
  <c r="D50" i="20"/>
  <c r="I82" i="19"/>
  <c r="F54" i="20"/>
  <c r="D60" i="19"/>
  <c r="E24" i="19"/>
  <c r="E16" i="19"/>
  <c r="F47" i="19"/>
  <c r="D59" i="20"/>
  <c r="F26" i="19"/>
  <c r="F36" i="20"/>
  <c r="F18" i="19"/>
  <c r="F50" i="19"/>
  <c r="G85" i="20"/>
  <c r="E54" i="20"/>
  <c r="D56" i="19"/>
  <c r="F24" i="19"/>
  <c r="D19" i="19"/>
  <c r="I87" i="19"/>
  <c r="D17" i="19"/>
  <c r="D46" i="20"/>
  <c r="H33" i="19"/>
  <c r="F59" i="20"/>
  <c r="E45" i="20"/>
  <c r="F33" i="19"/>
  <c r="H75" i="20"/>
  <c r="I75" i="19"/>
  <c r="D18" i="19"/>
  <c r="D54" i="19"/>
  <c r="F45" i="19"/>
  <c r="D58" i="20"/>
  <c r="E36" i="19"/>
  <c r="H74" i="20"/>
  <c r="I74" i="19"/>
  <c r="H34" i="20"/>
  <c r="J81" i="19"/>
  <c r="D48" i="20"/>
  <c r="H55" i="20"/>
  <c r="H50" i="19"/>
  <c r="F45" i="20"/>
  <c r="E46" i="19"/>
  <c r="E48" i="20"/>
  <c r="H59" i="19"/>
  <c r="F56" i="19"/>
  <c r="F39" i="19"/>
  <c r="G74" i="20"/>
  <c r="H49" i="20"/>
  <c r="F56" i="20"/>
  <c r="E24" i="20"/>
  <c r="H29" i="20"/>
  <c r="D15" i="20"/>
  <c r="H17" i="20"/>
  <c r="F17" i="20"/>
  <c r="F21" i="20"/>
  <c r="E21" i="20"/>
  <c r="H30" i="20"/>
  <c r="E18" i="20"/>
  <c r="D27" i="20"/>
  <c r="D33" i="20"/>
  <c r="D16" i="20"/>
  <c r="E36" i="20"/>
  <c r="H26" i="20"/>
  <c r="H15" i="20"/>
  <c r="F24" i="20"/>
  <c r="D38" i="20"/>
  <c r="D30" i="20"/>
  <c r="H16" i="20"/>
  <c r="F27" i="20"/>
  <c r="H19" i="20"/>
  <c r="F25" i="20"/>
  <c r="H25" i="20"/>
  <c r="E37" i="20"/>
  <c r="E34" i="20"/>
  <c r="D28" i="20"/>
  <c r="D24" i="20"/>
  <c r="F19" i="20"/>
  <c r="D36" i="20"/>
  <c r="D20" i="20"/>
  <c r="E38" i="20"/>
  <c r="H20" i="20"/>
  <c r="D37" i="20"/>
  <c r="E16" i="20"/>
  <c r="H18" i="20"/>
  <c r="D35" i="20"/>
  <c r="F16" i="20"/>
  <c r="E17" i="20"/>
  <c r="D19" i="20"/>
  <c r="F20" i="20"/>
  <c r="D21" i="20"/>
  <c r="D39" i="20"/>
  <c r="E33" i="20"/>
  <c r="F18" i="20"/>
  <c r="E15" i="20"/>
  <c r="D26" i="20"/>
  <c r="E30" i="20"/>
  <c r="E19" i="20"/>
  <c r="E26" i="20"/>
  <c r="E35" i="20"/>
  <c r="F26" i="20"/>
  <c r="E28" i="20"/>
  <c r="E29" i="20"/>
  <c r="E27" i="20"/>
  <c r="D34" i="20"/>
  <c r="F29" i="20"/>
  <c r="F30" i="20"/>
  <c r="E39" i="20"/>
  <c r="F28" i="20"/>
  <c r="D18" i="20"/>
  <c r="D25" i="20"/>
  <c r="F15" i="20"/>
  <c r="D29" i="20"/>
  <c r="E20" i="20"/>
  <c r="H28" i="20"/>
  <c r="H27" i="20"/>
  <c r="H21" i="20"/>
  <c r="H24" i="20"/>
  <c r="D17" i="20"/>
  <c r="E25" i="20"/>
  <c r="I49" i="20" l="1"/>
  <c r="J49" i="20" s="1"/>
  <c r="J59" i="19"/>
  <c r="I59" i="19"/>
  <c r="I50" i="19"/>
  <c r="J50" i="19"/>
  <c r="I55" i="20"/>
  <c r="J55" i="20" s="1"/>
  <c r="I33" i="19"/>
  <c r="J33" i="19"/>
  <c r="I56" i="20"/>
  <c r="J56" i="20" s="1"/>
  <c r="I58" i="19"/>
  <c r="J58" i="19"/>
  <c r="J60" i="19"/>
  <c r="I60" i="19"/>
  <c r="I47" i="20"/>
  <c r="J47" i="20" s="1"/>
  <c r="I25" i="19"/>
  <c r="J25" i="19"/>
  <c r="I14" i="19"/>
  <c r="J14" i="19"/>
  <c r="I46" i="19"/>
  <c r="J46" i="19"/>
  <c r="J27" i="19"/>
  <c r="I27" i="19"/>
  <c r="I45" i="20"/>
  <c r="J45" i="20" s="1"/>
  <c r="J45" i="19"/>
  <c r="I45" i="19"/>
  <c r="I54" i="19"/>
  <c r="J54" i="19"/>
  <c r="I48" i="20"/>
  <c r="J48" i="20" s="1"/>
  <c r="I35" i="19"/>
  <c r="J35" i="19"/>
  <c r="I54" i="20"/>
  <c r="J54" i="20" s="1"/>
  <c r="I50" i="20"/>
  <c r="J50" i="20" s="1"/>
  <c r="I59" i="20"/>
  <c r="J59" i="20" s="1"/>
  <c r="I18" i="19"/>
  <c r="J18" i="19"/>
  <c r="J44" i="19"/>
  <c r="I44" i="19"/>
  <c r="I37" i="19"/>
  <c r="J37" i="19"/>
  <c r="I34" i="19"/>
  <c r="J34" i="19"/>
  <c r="I58" i="20"/>
  <c r="J58" i="20" s="1"/>
  <c r="I26" i="19"/>
  <c r="J26" i="19"/>
  <c r="J19" i="19"/>
  <c r="I19" i="19"/>
  <c r="I53" i="20"/>
  <c r="J53" i="20" s="1"/>
  <c r="J36" i="19"/>
  <c r="I36" i="19"/>
  <c r="I49" i="19"/>
  <c r="J49" i="19"/>
  <c r="J17" i="19"/>
  <c r="I17" i="19"/>
  <c r="J28" i="19"/>
  <c r="I28" i="19"/>
  <c r="I23" i="19"/>
  <c r="J23" i="19"/>
  <c r="J57" i="19"/>
  <c r="I57" i="19"/>
  <c r="I13" i="19"/>
  <c r="J13" i="19"/>
  <c r="I46" i="20"/>
  <c r="J46" i="20" s="1"/>
  <c r="I16" i="19"/>
  <c r="J16" i="19"/>
  <c r="I44" i="20"/>
  <c r="J44" i="20" s="1"/>
  <c r="J48" i="19"/>
  <c r="I48" i="19"/>
  <c r="J56" i="19"/>
  <c r="I56" i="19"/>
  <c r="I57" i="20"/>
  <c r="J57" i="20" s="1"/>
  <c r="J55" i="19"/>
  <c r="I55" i="19"/>
  <c r="I38" i="19"/>
  <c r="J38" i="19"/>
  <c r="J15" i="19"/>
  <c r="I15" i="19"/>
  <c r="J24" i="19"/>
  <c r="I24" i="19"/>
  <c r="J39" i="19"/>
  <c r="I39" i="19"/>
  <c r="J47" i="19"/>
  <c r="I47" i="19"/>
  <c r="I29" i="19"/>
  <c r="J29" i="19"/>
  <c r="I34" i="20"/>
  <c r="J34" i="20" s="1"/>
  <c r="I39" i="20"/>
  <c r="J39" i="20" s="1"/>
  <c r="I38" i="20"/>
  <c r="J38" i="20" s="1"/>
  <c r="I37" i="20"/>
  <c r="J37" i="20" s="1"/>
  <c r="I36" i="20"/>
  <c r="J36" i="20" s="1"/>
  <c r="I35" i="20"/>
  <c r="J35" i="20" s="1"/>
  <c r="I33" i="20"/>
  <c r="J33" i="20" s="1"/>
  <c r="I30" i="20"/>
  <c r="J30" i="20" s="1"/>
  <c r="I24" i="20"/>
  <c r="J24" i="20" s="1"/>
  <c r="I29" i="20"/>
  <c r="J29" i="20" s="1"/>
  <c r="I28" i="20"/>
  <c r="J28" i="20" s="1"/>
  <c r="I27" i="20"/>
  <c r="J27" i="20" s="1"/>
  <c r="I26" i="20"/>
  <c r="J26" i="20" s="1"/>
  <c r="I25" i="20"/>
  <c r="J25" i="20" s="1"/>
  <c r="I18" i="20"/>
  <c r="J18" i="20" s="1"/>
  <c r="I19" i="20"/>
  <c r="J19" i="20" s="1"/>
  <c r="I20" i="20"/>
  <c r="J20" i="20" s="1"/>
  <c r="I21" i="20"/>
  <c r="J21" i="20" s="1"/>
  <c r="P9" i="24" l="1"/>
  <c r="P9" i="17"/>
  <c r="H105" i="24"/>
  <c r="H104" i="24"/>
  <c r="H103" i="24"/>
  <c r="H102" i="24"/>
  <c r="H101" i="24"/>
  <c r="H100" i="24"/>
  <c r="F10" i="24"/>
  <c r="O10" i="24" s="1"/>
  <c r="F11" i="24"/>
  <c r="O11" i="24"/>
  <c r="F11" i="17"/>
  <c r="O11" i="17" s="1"/>
  <c r="K41" i="24"/>
  <c r="Z10" i="17"/>
  <c r="Z8" i="17"/>
  <c r="V5" i="17"/>
  <c r="V8" i="17" s="1"/>
  <c r="V10" i="17" s="1"/>
  <c r="C37" i="17" s="1"/>
  <c r="Z6" i="17"/>
  <c r="G41" i="24"/>
  <c r="H125" i="24"/>
  <c r="E125" i="24"/>
  <c r="B125" i="24"/>
  <c r="I115" i="24"/>
  <c r="K147" i="24"/>
  <c r="K146" i="24"/>
  <c r="I146" i="24"/>
  <c r="H135" i="24"/>
  <c r="G135" i="24"/>
  <c r="F135" i="24"/>
  <c r="E135" i="24"/>
  <c r="D135" i="24"/>
  <c r="C135" i="24"/>
  <c r="I135" i="24"/>
  <c r="M136" i="24"/>
  <c r="M135" i="24"/>
  <c r="K116" i="24"/>
  <c r="K115" i="24"/>
  <c r="D105" i="24"/>
  <c r="D104" i="24"/>
  <c r="D103" i="24"/>
  <c r="D102" i="24"/>
  <c r="D101" i="24"/>
  <c r="D100" i="24"/>
  <c r="H72" i="24"/>
  <c r="H71" i="24"/>
  <c r="H70" i="24"/>
  <c r="H69" i="24"/>
  <c r="H68" i="24"/>
  <c r="D72" i="24"/>
  <c r="D71" i="24"/>
  <c r="D70" i="24"/>
  <c r="D69" i="24"/>
  <c r="D68" i="24"/>
  <c r="C84" i="24"/>
  <c r="F84" i="24"/>
  <c r="E84" i="24"/>
  <c r="D84" i="24"/>
  <c r="F86" i="24"/>
  <c r="E86" i="24"/>
  <c r="D86" i="24"/>
  <c r="C86" i="24"/>
  <c r="F83" i="24"/>
  <c r="E83" i="24"/>
  <c r="D83" i="24"/>
  <c r="H83" i="24"/>
  <c r="H84" i="24" s="1"/>
  <c r="C83" i="24"/>
  <c r="V16" i="24"/>
  <c r="V15" i="24"/>
  <c r="T16" i="24"/>
  <c r="T15" i="24"/>
  <c r="I41" i="24"/>
  <c r="E41" i="24"/>
  <c r="T8" i="24"/>
  <c r="T7" i="24"/>
  <c r="T6" i="24"/>
  <c r="T5" i="24"/>
  <c r="A41" i="24"/>
  <c r="F54" i="24"/>
  <c r="E54" i="24"/>
  <c r="D54" i="24"/>
  <c r="C54" i="24"/>
  <c r="H54" i="24" s="1"/>
  <c r="F52" i="24"/>
  <c r="E52" i="24"/>
  <c r="D52" i="24"/>
  <c r="C52" i="24"/>
  <c r="H52" i="24" s="1"/>
  <c r="F51" i="24"/>
  <c r="E51" i="24"/>
  <c r="D51" i="24"/>
  <c r="C51" i="24"/>
  <c r="M86" i="24"/>
  <c r="M84" i="24"/>
  <c r="M83" i="24"/>
  <c r="M54" i="24"/>
  <c r="M52" i="24"/>
  <c r="M51" i="24"/>
  <c r="H187" i="17"/>
  <c r="H186" i="17"/>
  <c r="H185" i="17"/>
  <c r="H69" i="17"/>
  <c r="H68" i="17"/>
  <c r="H67" i="17"/>
  <c r="H66" i="17"/>
  <c r="H65" i="17"/>
  <c r="H64" i="17"/>
  <c r="F37" i="17"/>
  <c r="L148" i="17"/>
  <c r="L138" i="17"/>
  <c r="K147" i="17"/>
  <c r="K137" i="17"/>
  <c r="L147" i="17"/>
  <c r="L137" i="17"/>
  <c r="K128" i="17"/>
  <c r="K127" i="17"/>
  <c r="K126" i="17"/>
  <c r="F128" i="17"/>
  <c r="F127" i="17"/>
  <c r="M116" i="17"/>
  <c r="H115" i="17"/>
  <c r="H114" i="17"/>
  <c r="H113" i="17"/>
  <c r="H112" i="17"/>
  <c r="H111" i="17"/>
  <c r="H110" i="17"/>
  <c r="H109" i="17"/>
  <c r="J109" i="17" s="1"/>
  <c r="F115" i="17"/>
  <c r="F114" i="17"/>
  <c r="F113" i="17"/>
  <c r="F112" i="17"/>
  <c r="F111" i="17"/>
  <c r="F110" i="17"/>
  <c r="F109" i="17"/>
  <c r="D115" i="17"/>
  <c r="J115" i="17"/>
  <c r="D114" i="17"/>
  <c r="D113" i="17"/>
  <c r="D112" i="17"/>
  <c r="D111" i="17"/>
  <c r="J111" i="17" s="1"/>
  <c r="D110" i="17"/>
  <c r="D109" i="17"/>
  <c r="H99" i="17"/>
  <c r="H98" i="17"/>
  <c r="H97" i="17"/>
  <c r="H96" i="17"/>
  <c r="D99" i="17"/>
  <c r="D98" i="17"/>
  <c r="D97" i="17"/>
  <c r="D96" i="17"/>
  <c r="E82" i="17"/>
  <c r="E80" i="17"/>
  <c r="E79" i="17"/>
  <c r="D82" i="17"/>
  <c r="D80" i="17"/>
  <c r="D79" i="17"/>
  <c r="C82" i="17"/>
  <c r="C80" i="17"/>
  <c r="C79" i="17"/>
  <c r="M82" i="17"/>
  <c r="M80" i="17"/>
  <c r="M79" i="17"/>
  <c r="D69" i="17"/>
  <c r="D68" i="17"/>
  <c r="D67" i="17"/>
  <c r="D66" i="17"/>
  <c r="D65" i="17"/>
  <c r="D64" i="17"/>
  <c r="M50" i="17"/>
  <c r="M48" i="17"/>
  <c r="M47" i="17"/>
  <c r="E50" i="17"/>
  <c r="D50" i="17"/>
  <c r="C50" i="17"/>
  <c r="G50" i="17" s="1"/>
  <c r="E48" i="17"/>
  <c r="D48" i="17"/>
  <c r="C48" i="17"/>
  <c r="E47" i="17"/>
  <c r="D47" i="17"/>
  <c r="C47" i="17"/>
  <c r="G47" i="17" s="1"/>
  <c r="K47" i="17" s="1"/>
  <c r="J37" i="17"/>
  <c r="A37" i="17"/>
  <c r="I17" i="20"/>
  <c r="J17" i="20" s="1"/>
  <c r="I16" i="20"/>
  <c r="J16" i="20" s="1"/>
  <c r="K125" i="24"/>
  <c r="K135" i="24" s="1"/>
  <c r="C41" i="24"/>
  <c r="G82" i="17"/>
  <c r="N135" i="24"/>
  <c r="N136" i="24" s="1"/>
  <c r="H53" i="19"/>
  <c r="H52" i="20"/>
  <c r="H43" i="20"/>
  <c r="H43" i="19"/>
  <c r="H23" i="20"/>
  <c r="H22" i="19"/>
  <c r="H14" i="20"/>
  <c r="H12" i="19"/>
  <c r="H32" i="20"/>
  <c r="H32" i="19"/>
  <c r="G79" i="17" l="1"/>
  <c r="H51" i="24"/>
  <c r="K51" i="24" s="1"/>
  <c r="T9" i="24"/>
  <c r="H86" i="24"/>
  <c r="G80" i="17"/>
  <c r="I81" i="17" s="1"/>
  <c r="V19" i="24"/>
  <c r="I85" i="24"/>
  <c r="I87" i="24" s="1"/>
  <c r="K86" i="24" s="1"/>
  <c r="I53" i="24"/>
  <c r="I55" i="24" s="1"/>
  <c r="T19" i="24"/>
  <c r="H37" i="17"/>
  <c r="M37" i="17" s="1"/>
  <c r="J110" i="17"/>
  <c r="J112" i="17"/>
  <c r="J113" i="17"/>
  <c r="J114" i="17"/>
  <c r="I15" i="20"/>
  <c r="J15" i="20" s="1"/>
  <c r="K79" i="17"/>
  <c r="M41" i="24"/>
  <c r="G48" i="17"/>
  <c r="I49" i="17" s="1"/>
  <c r="K83" i="24"/>
  <c r="I83" i="17" l="1"/>
  <c r="K82" i="17" s="1"/>
  <c r="K80" i="17"/>
  <c r="K54" i="24"/>
  <c r="T18" i="24" s="1"/>
  <c r="V18" i="24"/>
  <c r="K84" i="24"/>
  <c r="K52" i="24"/>
  <c r="T17" i="24" s="1"/>
  <c r="J116" i="17"/>
  <c r="D126" i="17" s="1"/>
  <c r="H128" i="17" s="1"/>
  <c r="L82" i="17"/>
  <c r="N82" i="17" s="1"/>
  <c r="I126" i="17"/>
  <c r="L79" i="17"/>
  <c r="N79" i="17" s="1"/>
  <c r="I127" i="17"/>
  <c r="L48" i="17"/>
  <c r="I128" i="17"/>
  <c r="L50" i="17"/>
  <c r="L80" i="17"/>
  <c r="N80" i="17" s="1"/>
  <c r="L47" i="17"/>
  <c r="N47" i="17" s="1"/>
  <c r="C147" i="17" s="1"/>
  <c r="K48" i="17"/>
  <c r="I51" i="17"/>
  <c r="K50" i="17" s="1"/>
  <c r="L52" i="24"/>
  <c r="L86" i="24"/>
  <c r="N86" i="24" s="1"/>
  <c r="L83" i="24"/>
  <c r="N83" i="24" s="1"/>
  <c r="L84" i="24"/>
  <c r="L54" i="24"/>
  <c r="N54" i="24" s="1"/>
  <c r="L51" i="24"/>
  <c r="N51" i="24" s="1"/>
  <c r="D53" i="19"/>
  <c r="D12" i="19"/>
  <c r="D23" i="20"/>
  <c r="F22" i="19"/>
  <c r="F52" i="20"/>
  <c r="D43" i="19"/>
  <c r="E22" i="19"/>
  <c r="D14" i="20"/>
  <c r="F53" i="19"/>
  <c r="D52" i="20"/>
  <c r="E23" i="20"/>
  <c r="F23" i="20"/>
  <c r="F43" i="19"/>
  <c r="D22" i="19"/>
  <c r="T20" i="24" l="1"/>
  <c r="V17" i="24"/>
  <c r="V20" i="24" s="1"/>
  <c r="T22" i="24" s="1"/>
  <c r="N84" i="24"/>
  <c r="D51" i="19"/>
  <c r="D61" i="19"/>
  <c r="F51" i="19"/>
  <c r="F61" i="19"/>
  <c r="N52" i="24"/>
  <c r="F66" i="24" s="1"/>
  <c r="E30" i="19"/>
  <c r="D30" i="19"/>
  <c r="F30" i="19"/>
  <c r="D20" i="19"/>
  <c r="I12" i="19"/>
  <c r="F94" i="17"/>
  <c r="I23" i="20"/>
  <c r="J23" i="20" s="1"/>
  <c r="I14" i="20"/>
  <c r="J14" i="20" s="1"/>
  <c r="N50" i="17"/>
  <c r="H127" i="17"/>
  <c r="M127" i="17" s="1"/>
  <c r="I22" i="19"/>
  <c r="N48" i="17"/>
  <c r="M128" i="17"/>
  <c r="H126" i="17"/>
  <c r="M126" i="17" s="1"/>
  <c r="C137" i="17"/>
  <c r="L94" i="17"/>
  <c r="E137" i="17"/>
  <c r="J94" i="17"/>
  <c r="J98" i="17" s="1"/>
  <c r="I170" i="17" s="1"/>
  <c r="L62" i="17"/>
  <c r="E147" i="17"/>
  <c r="L66" i="24"/>
  <c r="D146" i="24"/>
  <c r="D115" i="24"/>
  <c r="J98" i="24"/>
  <c r="F115" i="24"/>
  <c r="L98" i="24"/>
  <c r="F146" i="24"/>
  <c r="I52" i="20"/>
  <c r="J52" i="20" s="1"/>
  <c r="J62" i="17"/>
  <c r="J12" i="19"/>
  <c r="J66" i="24"/>
  <c r="F99" i="17"/>
  <c r="F98" i="17"/>
  <c r="F96" i="17"/>
  <c r="F97" i="17"/>
  <c r="E52" i="20"/>
  <c r="F32" i="19"/>
  <c r="D32" i="20"/>
  <c r="E12" i="19"/>
  <c r="E32" i="19"/>
  <c r="E53" i="19"/>
  <c r="E14" i="20"/>
  <c r="E32" i="20"/>
  <c r="E43" i="19"/>
  <c r="F32" i="20"/>
  <c r="D32" i="19"/>
  <c r="F12" i="19"/>
  <c r="F14" i="20"/>
  <c r="E61" i="19" l="1"/>
  <c r="H115" i="24"/>
  <c r="M115" i="24" s="1"/>
  <c r="M116" i="24" s="1"/>
  <c r="F170" i="24" s="1"/>
  <c r="F98" i="24"/>
  <c r="F101" i="24" s="1"/>
  <c r="E51" i="19"/>
  <c r="E40" i="19"/>
  <c r="D40" i="19"/>
  <c r="D62" i="19"/>
  <c r="E97" i="19" s="1"/>
  <c r="D40" i="20"/>
  <c r="F40" i="20"/>
  <c r="F62" i="19"/>
  <c r="E101" i="19" s="1"/>
  <c r="F20" i="19"/>
  <c r="F40" i="19"/>
  <c r="E40" i="20"/>
  <c r="E20" i="19"/>
  <c r="E62" i="19"/>
  <c r="L164" i="17"/>
  <c r="I164" i="17"/>
  <c r="J22" i="19"/>
  <c r="I32" i="20"/>
  <c r="J32" i="20" s="1"/>
  <c r="J40" i="20" s="1"/>
  <c r="G147" i="17"/>
  <c r="I147" i="17" s="1"/>
  <c r="M148" i="17" s="1"/>
  <c r="F173" i="17" s="1"/>
  <c r="J97" i="17"/>
  <c r="I169" i="17" s="1"/>
  <c r="F62" i="17"/>
  <c r="F69" i="17" s="1"/>
  <c r="J99" i="17"/>
  <c r="I171" i="17" s="1"/>
  <c r="G137" i="17"/>
  <c r="I137" i="17" s="1"/>
  <c r="M137" i="17" s="1"/>
  <c r="J32" i="19"/>
  <c r="J96" i="17"/>
  <c r="I168" i="17" s="1"/>
  <c r="F164" i="17"/>
  <c r="F169" i="17"/>
  <c r="H146" i="24"/>
  <c r="J101" i="24"/>
  <c r="I165" i="24" s="1"/>
  <c r="J105" i="24"/>
  <c r="I169" i="24" s="1"/>
  <c r="J102" i="24"/>
  <c r="I166" i="24" s="1"/>
  <c r="J104" i="24"/>
  <c r="I168" i="24" s="1"/>
  <c r="J100" i="24"/>
  <c r="I164" i="24" s="1"/>
  <c r="J103" i="24"/>
  <c r="I167" i="24" s="1"/>
  <c r="L98" i="17"/>
  <c r="L170" i="17" s="1"/>
  <c r="F170" i="17"/>
  <c r="J70" i="24"/>
  <c r="I159" i="24" s="1"/>
  <c r="J71" i="24"/>
  <c r="I160" i="24" s="1"/>
  <c r="J68" i="24"/>
  <c r="I157" i="24" s="1"/>
  <c r="J72" i="24"/>
  <c r="I161" i="24" s="1"/>
  <c r="J69" i="24"/>
  <c r="I158" i="24" s="1"/>
  <c r="I53" i="19"/>
  <c r="J53" i="19"/>
  <c r="J43" i="19"/>
  <c r="I43" i="19"/>
  <c r="F171" i="17"/>
  <c r="F168" i="17"/>
  <c r="F70" i="24"/>
  <c r="F68" i="24"/>
  <c r="F72" i="24"/>
  <c r="F69" i="24"/>
  <c r="F71" i="24"/>
  <c r="J66" i="17"/>
  <c r="I161" i="17" s="1"/>
  <c r="J69" i="17"/>
  <c r="I165" i="17" s="1"/>
  <c r="J64" i="17"/>
  <c r="I159" i="17" s="1"/>
  <c r="J67" i="17"/>
  <c r="I162" i="17" s="1"/>
  <c r="J68" i="17"/>
  <c r="I163" i="17" s="1"/>
  <c r="J65" i="17"/>
  <c r="I160" i="17" s="1"/>
  <c r="I80" i="19"/>
  <c r="G79" i="20"/>
  <c r="G70" i="20"/>
  <c r="I71" i="19"/>
  <c r="F68" i="17" l="1"/>
  <c r="F102" i="24"/>
  <c r="L102" i="24" s="1"/>
  <c r="L166" i="24" s="1"/>
  <c r="F103" i="24"/>
  <c r="L103" i="24" s="1"/>
  <c r="L167" i="24" s="1"/>
  <c r="F104" i="24"/>
  <c r="F168" i="24" s="1"/>
  <c r="F100" i="24"/>
  <c r="L100" i="24" s="1"/>
  <c r="L164" i="24" s="1"/>
  <c r="L170" i="24"/>
  <c r="F105" i="24"/>
  <c r="L105" i="24" s="1"/>
  <c r="L169" i="24" s="1"/>
  <c r="I88" i="19"/>
  <c r="L172" i="17"/>
  <c r="F66" i="17"/>
  <c r="F161" i="17" s="1"/>
  <c r="J62" i="19"/>
  <c r="M62" i="19" s="1"/>
  <c r="N62" i="19" s="1"/>
  <c r="F67" i="17"/>
  <c r="L67" i="17" s="1"/>
  <c r="L162" i="17" s="1"/>
  <c r="L99" i="17"/>
  <c r="L171" i="17" s="1"/>
  <c r="E99" i="19"/>
  <c r="F65" i="17"/>
  <c r="F160" i="17" s="1"/>
  <c r="M147" i="17"/>
  <c r="L173" i="17" s="1"/>
  <c r="F64" i="17"/>
  <c r="L64" i="17" s="1"/>
  <c r="L159" i="17" s="1"/>
  <c r="L97" i="17"/>
  <c r="L169" i="17" s="1"/>
  <c r="I32" i="19"/>
  <c r="I62" i="19" s="1"/>
  <c r="I174" i="17"/>
  <c r="L96" i="17"/>
  <c r="L168" i="17" s="1"/>
  <c r="M138" i="17"/>
  <c r="F172" i="17" s="1"/>
  <c r="F174" i="17" s="1"/>
  <c r="L69" i="24"/>
  <c r="L158" i="24" s="1"/>
  <c r="F158" i="24"/>
  <c r="I172" i="24"/>
  <c r="L68" i="17"/>
  <c r="L163" i="17" s="1"/>
  <c r="F163" i="17"/>
  <c r="F159" i="24"/>
  <c r="L70" i="24"/>
  <c r="L159" i="24" s="1"/>
  <c r="M146" i="24"/>
  <c r="M147" i="24"/>
  <c r="F171" i="24" s="1"/>
  <c r="L66" i="17"/>
  <c r="L161" i="17" s="1"/>
  <c r="F161" i="24"/>
  <c r="L72" i="24"/>
  <c r="L161" i="24" s="1"/>
  <c r="F157" i="24"/>
  <c r="L68" i="24"/>
  <c r="L157" i="24" s="1"/>
  <c r="I166" i="17"/>
  <c r="L69" i="17"/>
  <c r="L165" i="17" s="1"/>
  <c r="F165" i="17"/>
  <c r="I162" i="24"/>
  <c r="F162" i="17"/>
  <c r="L71" i="24"/>
  <c r="L160" i="24" s="1"/>
  <c r="F160" i="24"/>
  <c r="L101" i="24"/>
  <c r="L165" i="24" s="1"/>
  <c r="F165" i="24"/>
  <c r="F43" i="20"/>
  <c r="J71" i="19"/>
  <c r="J80" i="19"/>
  <c r="H70" i="20"/>
  <c r="H79" i="20"/>
  <c r="I175" i="17" l="1"/>
  <c r="E187" i="17" s="1"/>
  <c r="K187" i="17" s="1"/>
  <c r="L65" i="17"/>
  <c r="L160" i="17" s="1"/>
  <c r="F166" i="24"/>
  <c r="F169" i="24"/>
  <c r="F167" i="24"/>
  <c r="L104" i="24"/>
  <c r="L168" i="24" s="1"/>
  <c r="F164" i="24"/>
  <c r="J88" i="19"/>
  <c r="F159" i="17"/>
  <c r="F166" i="17" s="1"/>
  <c r="F175" i="17" s="1"/>
  <c r="E186" i="17" s="1"/>
  <c r="K186" i="17" s="1"/>
  <c r="K62" i="19"/>
  <c r="L62" i="19" s="1"/>
  <c r="O62" i="19" s="1"/>
  <c r="K97" i="19" s="1"/>
  <c r="K101" i="19" s="1"/>
  <c r="M101" i="19" s="1"/>
  <c r="F162" i="24"/>
  <c r="L174" i="17"/>
  <c r="L162" i="24"/>
  <c r="L171" i="24"/>
  <c r="L172" i="24" s="1"/>
  <c r="H87" i="20"/>
  <c r="I173" i="24"/>
  <c r="H185" i="24" s="1"/>
  <c r="L166" i="17"/>
  <c r="L175" i="17" s="1"/>
  <c r="E185" i="17" s="1"/>
  <c r="K185" i="17" s="1"/>
  <c r="G87" i="20"/>
  <c r="D43" i="20"/>
  <c r="E43" i="20"/>
  <c r="F172" i="24" l="1"/>
  <c r="F173" i="24"/>
  <c r="H184" i="24" s="1"/>
  <c r="K99" i="19"/>
  <c r="G96" i="20"/>
  <c r="G98" i="20"/>
  <c r="I97" i="19"/>
  <c r="I99" i="19"/>
  <c r="G99" i="19"/>
  <c r="G97" i="19"/>
  <c r="E98" i="20"/>
  <c r="E96" i="20"/>
  <c r="L173" i="24"/>
  <c r="H183" i="24" s="1"/>
  <c r="F60" i="20"/>
  <c r="M99" i="19" l="1"/>
  <c r="F61" i="20"/>
  <c r="C100" i="20" s="1"/>
  <c r="I43" i="20"/>
  <c r="J43" i="20" s="1"/>
  <c r="M97" i="19"/>
  <c r="D61" i="20" l="1"/>
  <c r="C96" i="20" s="1"/>
  <c r="D60" i="20"/>
  <c r="J60" i="20"/>
  <c r="J61" i="20"/>
  <c r="I96" i="20" s="1"/>
  <c r="E61" i="20"/>
  <c r="C98" i="20" s="1"/>
  <c r="E60" i="20"/>
  <c r="I100" i="20" l="1"/>
  <c r="K100" i="20" s="1"/>
  <c r="I98" i="20"/>
  <c r="K98" i="20" s="1"/>
  <c r="K96" i="20"/>
</calcChain>
</file>

<file path=xl/sharedStrings.xml><?xml version="1.0" encoding="utf-8"?>
<sst xmlns="http://schemas.openxmlformats.org/spreadsheetml/2006/main" count="1921" uniqueCount="678">
  <si>
    <t>General Information</t>
  </si>
  <si>
    <t>Analyst</t>
  </si>
  <si>
    <t>Agency or Company</t>
  </si>
  <si>
    <t>Date Performed</t>
  </si>
  <si>
    <t>Input Data</t>
  </si>
  <si>
    <t>Length of segment, L (mi)</t>
  </si>
  <si>
    <t>AADT (veh/day)</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</si>
  <si>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</si>
  <si>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</si>
  <si>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</si>
  <si>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</si>
  <si>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</si>
  <si>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</si>
  <si>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</si>
  <si>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</si>
  <si>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</si>
  <si>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</si>
  <si>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</si>
  <si>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</si>
  <si>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</si>
  <si>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</si>
  <si>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</si>
  <si>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</si>
  <si>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</si>
  <si>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</si>
  <si>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</si>
  <si>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</si>
  <si>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</si>
  <si>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</si>
  <si>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</si>
  <si>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</si>
  <si>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</si>
  <si>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</si>
  <si>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</si>
  <si>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</si>
  <si>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</si>
  <si>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</si>
  <si>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</si>
  <si>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</si>
  <si>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</si>
  <si>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t>Angle collision</t>
  </si>
  <si>
    <t>Head-on collision</t>
  </si>
  <si>
    <t>Rear-end collision</t>
  </si>
  <si>
    <t>Crash severity level</t>
  </si>
  <si>
    <t>Predicted average crash frequency (crashes/year)</t>
  </si>
  <si>
    <t>Shoulder Type</t>
  </si>
  <si>
    <t>Lane Width</t>
  </si>
  <si>
    <t>TWLTL</t>
  </si>
  <si>
    <t>Lighting</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</si>
  <si>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</si>
  <si>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</si>
  <si>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</si>
  <si>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</si>
  <si>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</si>
  <si>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</si>
  <si>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</si>
  <si>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</si>
  <si>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</si>
  <si>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</si>
  <si>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</si>
  <si>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</si>
  <si>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</si>
  <si>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</si>
  <si>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</si>
  <si>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</si>
  <si>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</si>
  <si>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Present (1 lane)</t>
  </si>
  <si>
    <t>Present (2 lanes)</t>
  </si>
  <si>
    <t>Local</t>
  </si>
  <si>
    <t>Yes</t>
  </si>
  <si>
    <t>No</t>
  </si>
  <si>
    <t>Locally-Derived Values?</t>
  </si>
  <si>
    <t>Intersection</t>
  </si>
  <si>
    <t>Intersection lighting (present/not present)</t>
  </si>
  <si>
    <t>Itype</t>
  </si>
  <si>
    <t>3ST</t>
  </si>
  <si>
    <t>4ST</t>
  </si>
  <si>
    <t>4SG</t>
  </si>
  <si>
    <t>Lapproach</t>
  </si>
  <si>
    <t>Rapproach</t>
  </si>
  <si>
    <t>Ilight</t>
  </si>
  <si>
    <t>CMF for Left-Turn Lanes</t>
  </si>
  <si>
    <t>CMF for Right-Turn Lanes</t>
  </si>
  <si>
    <t>Combined CMF</t>
  </si>
  <si>
    <t>Differ</t>
  </si>
  <si>
    <t>Median width (ft) - for divided only</t>
  </si>
  <si>
    <t>CMF for Median Width</t>
  </si>
  <si>
    <t>(1)*(2)*(3)*(4)*(5)</t>
  </si>
  <si>
    <t>SPF Coefficients</t>
  </si>
  <si>
    <t>a</t>
  </si>
  <si>
    <t>b</t>
  </si>
  <si>
    <t>Mwidth</t>
  </si>
  <si>
    <t>Divided</t>
  </si>
  <si>
    <t>Undivided</t>
  </si>
  <si>
    <t>Division</t>
  </si>
  <si>
    <t>Sideswipe</t>
  </si>
  <si>
    <t>Other</t>
  </si>
  <si>
    <t>PDO</t>
  </si>
  <si>
    <t>Sslope</t>
  </si>
  <si>
    <t>1:2 or Steeper</t>
  </si>
  <si>
    <t>1:4</t>
  </si>
  <si>
    <t>1:5</t>
  </si>
  <si>
    <t>1:6</t>
  </si>
  <si>
    <t>1:7 or Flatter</t>
  </si>
  <si>
    <t>4U</t>
  </si>
  <si>
    <t>Shld2</t>
  </si>
  <si>
    <t>CMF</t>
  </si>
  <si>
    <t>4D</t>
  </si>
  <si>
    <r>
      <t>Calibration Factor, C</t>
    </r>
    <r>
      <rPr>
        <b/>
        <vertAlign val="subscript"/>
        <sz val="10"/>
        <rFont val="Arial"/>
        <family val="2"/>
      </rPr>
      <t>i</t>
    </r>
  </si>
  <si>
    <t>Iapproach</t>
  </si>
  <si>
    <t>COMBINED (sum of column)</t>
  </si>
  <si>
    <r>
      <t>N</t>
    </r>
    <r>
      <rPr>
        <vertAlign val="subscript"/>
        <sz val="10"/>
        <rFont val="Arial"/>
        <family val="2"/>
      </rPr>
      <t xml:space="preserve"> predicted</t>
    </r>
    <r>
      <rPr>
        <sz val="10"/>
        <rFont val="Arial"/>
        <family val="2"/>
      </rPr>
      <t xml:space="preserve"> (TOTAL)</t>
    </r>
  </si>
  <si>
    <r>
      <t xml:space="preserve"> N</t>
    </r>
    <r>
      <rPr>
        <vertAlign val="subscript"/>
        <sz val="10"/>
        <rFont val="Arial"/>
        <family val="2"/>
      </rPr>
      <t xml:space="preserve"> predicted</t>
    </r>
    <r>
      <rPr>
        <sz val="10"/>
        <rFont val="Arial"/>
        <family val="2"/>
      </rPr>
      <t xml:space="preserve">    (PDO)</t>
    </r>
  </si>
  <si>
    <t>ROADWAY SEGMENTS</t>
  </si>
  <si>
    <t>INTERSECTIONS</t>
  </si>
  <si>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</si>
  <si>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</si>
  <si>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</si>
  <si>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</si>
  <si>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</si>
  <si>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</si>
  <si>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</si>
  <si>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</si>
  <si>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</si>
  <si>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</si>
  <si>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</si>
  <si>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</si>
  <si>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</si>
  <si>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t>Equation A-5 from Part C Appendix</t>
  </si>
  <si>
    <t>Equation   A-4 from Part C Appendix</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</si>
  <si>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</si>
  <si>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</si>
  <si>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</si>
  <si>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</si>
  <si>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</si>
  <si>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</si>
  <si>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</si>
  <si>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 xml:space="preserve"> N</t>
    </r>
    <r>
      <rPr>
        <vertAlign val="subscript"/>
        <sz val="10"/>
        <rFont val="Arial"/>
        <family val="2"/>
      </rPr>
      <t xml:space="preserve"> predicted    </t>
    </r>
    <r>
      <rPr>
        <sz val="10"/>
        <rFont val="Arial"/>
        <family val="2"/>
      </rPr>
      <t xml:space="preserve">  (FI)</t>
    </r>
  </si>
  <si>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</si>
  <si>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</si>
  <si>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</si>
  <si>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</si>
  <si>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</si>
  <si>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</si>
  <si>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</si>
  <si>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</si>
  <si>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</si>
  <si>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</si>
  <si>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</si>
  <si>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Worksheet 1A -- General Information and Input Data for Urban and Suburban Roadway Segments</t>
  </si>
  <si>
    <t>Roadway type (2U, 3T, 4U, 4D, ST)</t>
  </si>
  <si>
    <t>Type of on-street parking (none/parallel/angle)</t>
  </si>
  <si>
    <t>Proportion of curb length with on-street parking</t>
  </si>
  <si>
    <t>Lighting (present / not 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</si>
  <si>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</si>
  <si>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</si>
  <si>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</si>
  <si>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</si>
  <si>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</si>
  <si>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</si>
  <si>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</si>
  <si>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</si>
  <si>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</si>
  <si>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Roadside fixed object density (fixed objects / mi)</t>
  </si>
  <si>
    <t>Urban / Suburban Fields:</t>
  </si>
  <si>
    <t>Rtype</t>
  </si>
  <si>
    <t>3T</t>
  </si>
  <si>
    <t>2U</t>
  </si>
  <si>
    <t>UMedWidth</t>
  </si>
  <si>
    <t>PresOrNot</t>
  </si>
  <si>
    <t>None</t>
  </si>
  <si>
    <t>Worksheet 1B -- Crash Modification Factors for Urban and Suburban Roadway Segments</t>
  </si>
  <si>
    <t>CMF for On-Street Parking</t>
  </si>
  <si>
    <t>CMF 1r</t>
  </si>
  <si>
    <t>from Equation 12-32</t>
  </si>
  <si>
    <t>Type of Parking and Land Use</t>
  </si>
  <si>
    <t>Parallel Parking</t>
  </si>
  <si>
    <t>Residential/  Other</t>
  </si>
  <si>
    <t>Commercial or Industrial/ Institutional</t>
  </si>
  <si>
    <t>Angle Parking</t>
  </si>
  <si>
    <t>Road Type</t>
  </si>
  <si>
    <t>5T</t>
  </si>
  <si>
    <t>Parallel (Residential)</t>
  </si>
  <si>
    <t>Parallel (Comm/Ind)</t>
  </si>
  <si>
    <t>Angle (Residential)</t>
  </si>
  <si>
    <t>Angle (Comm/Ind)</t>
  </si>
  <si>
    <t>OnStreetType</t>
  </si>
  <si>
    <t>CMF for Roadside Fixed Objects</t>
  </si>
  <si>
    <t>CMF 2r</t>
  </si>
  <si>
    <t>from Equation 12-33</t>
  </si>
  <si>
    <t>Offset to fixed objects</t>
  </si>
  <si>
    <r>
      <t>(O</t>
    </r>
    <r>
      <rPr>
        <b/>
        <vertAlign val="subscript"/>
        <sz val="10"/>
        <rFont val="Arial"/>
        <family val="2"/>
      </rPr>
      <t>fo</t>
    </r>
    <r>
      <rPr>
        <b/>
        <sz val="10"/>
        <rFont val="Arial"/>
        <family val="2"/>
      </rPr>
      <t>) (ft)</t>
    </r>
  </si>
  <si>
    <t>Fixed-Object Offset Factor</t>
  </si>
  <si>
    <r>
      <t>(f</t>
    </r>
    <r>
      <rPr>
        <b/>
        <vertAlign val="subscript"/>
        <sz val="10"/>
        <rFont val="Arial"/>
        <family val="2"/>
      </rPr>
      <t>offset</t>
    </r>
    <r>
      <rPr>
        <b/>
        <sz val="10"/>
        <rFont val="Arial"/>
        <family val="2"/>
      </rPr>
      <t>)</t>
    </r>
  </si>
  <si>
    <t>OffsetFO</t>
  </si>
  <si>
    <r>
      <rPr>
        <sz val="10"/>
        <rFont val="Calibri"/>
        <family val="2"/>
      </rPr>
      <t>≥</t>
    </r>
    <r>
      <rPr>
        <sz val="10"/>
        <rFont val="Arial"/>
        <family val="2"/>
      </rPr>
      <t xml:space="preserve"> </t>
    </r>
    <r>
      <rPr>
        <sz val="10"/>
        <rFont val="Arial"/>
        <family val="2"/>
      </rPr>
      <t>30</t>
    </r>
  </si>
  <si>
    <r>
      <rPr>
        <sz val="10"/>
        <rFont val="Calibri"/>
        <family val="2"/>
      </rPr>
      <t xml:space="preserve">≥ </t>
    </r>
    <r>
      <rPr>
        <sz val="10"/>
        <rFont val="Arial"/>
        <family val="2"/>
      </rPr>
      <t>30</t>
    </r>
  </si>
  <si>
    <r>
      <t>Proportion of Fixed-Object Collisions (p</t>
    </r>
    <r>
      <rPr>
        <b/>
        <vertAlign val="subscript"/>
        <sz val="10"/>
        <rFont val="Arial"/>
        <family val="2"/>
      </rPr>
      <t>fo</t>
    </r>
    <r>
      <rPr>
        <b/>
        <sz val="10"/>
        <rFont val="Arial"/>
        <family val="2"/>
      </rPr>
      <t>)</t>
    </r>
  </si>
  <si>
    <t>CMF 3r</t>
  </si>
  <si>
    <t>Median Width (ft)</t>
  </si>
  <si>
    <t>CMF 4r</t>
  </si>
  <si>
    <t>from Equation 12-34</t>
  </si>
  <si>
    <t>Proportion of Total Nighttime Crashes by Severity Level</t>
  </si>
  <si>
    <r>
      <t>Fatal and Injury (p</t>
    </r>
    <r>
      <rPr>
        <b/>
        <vertAlign val="subscript"/>
        <sz val="10"/>
        <rFont val="Arial"/>
        <family val="2"/>
      </rPr>
      <t>inr</t>
    </r>
    <r>
      <rPr>
        <b/>
        <sz val="10"/>
        <rFont val="Arial"/>
        <family val="2"/>
      </rPr>
      <t>)</t>
    </r>
  </si>
  <si>
    <r>
      <t>PDO (p</t>
    </r>
    <r>
      <rPr>
        <b/>
        <vertAlign val="subscript"/>
        <sz val="10"/>
        <rFont val="Arial"/>
        <family val="2"/>
      </rPr>
      <t>pnr</t>
    </r>
    <r>
      <rPr>
        <b/>
        <sz val="10"/>
        <rFont val="Arial"/>
        <family val="2"/>
      </rPr>
      <t>)</t>
    </r>
  </si>
  <si>
    <t>Proportion of Crashes that Occur at Night</t>
  </si>
  <si>
    <r>
      <t>(p</t>
    </r>
    <r>
      <rPr>
        <b/>
        <vertAlign val="subscript"/>
        <sz val="10"/>
        <rFont val="Arial"/>
        <family val="2"/>
      </rPr>
      <t>nr</t>
    </r>
    <r>
      <rPr>
        <b/>
        <sz val="10"/>
        <rFont val="Arial"/>
        <family val="2"/>
      </rPr>
      <t>)</t>
    </r>
  </si>
  <si>
    <r>
      <t>p</t>
    </r>
    <r>
      <rPr>
        <vertAlign val="subscript"/>
        <sz val="10"/>
        <rFont val="Arial"/>
        <family val="2"/>
      </rPr>
      <t>inr</t>
    </r>
    <r>
      <rPr>
        <sz val="10"/>
        <rFont val="Arial"/>
        <family val="2"/>
      </rPr>
      <t>:</t>
    </r>
  </si>
  <si>
    <r>
      <t>p</t>
    </r>
    <r>
      <rPr>
        <vertAlign val="subscript"/>
        <sz val="10"/>
        <rFont val="Arial"/>
        <family val="2"/>
      </rPr>
      <t>pnr</t>
    </r>
    <r>
      <rPr>
        <sz val="10"/>
        <rFont val="Arial"/>
        <family val="2"/>
      </rPr>
      <t>:</t>
    </r>
  </si>
  <si>
    <r>
      <t>p</t>
    </r>
    <r>
      <rPr>
        <vertAlign val="subscript"/>
        <sz val="10"/>
        <rFont val="Arial"/>
        <family val="2"/>
      </rPr>
      <t>nr</t>
    </r>
    <r>
      <rPr>
        <sz val="10"/>
        <rFont val="Arial"/>
        <family val="2"/>
      </rPr>
      <t>:</t>
    </r>
  </si>
  <si>
    <t>CMF 5r</t>
  </si>
  <si>
    <t>from Section 12.7.1</t>
  </si>
  <si>
    <t>Worksheet 1C -- Multiple-Vehicle Nondriveway Collisions by Severity Level for Urban and Suburban Roadway Segments</t>
  </si>
  <si>
    <r>
      <t>Initial N</t>
    </r>
    <r>
      <rPr>
        <b/>
        <vertAlign val="subscript"/>
        <sz val="10"/>
        <rFont val="Arial"/>
        <family val="2"/>
      </rPr>
      <t>brmv</t>
    </r>
  </si>
  <si>
    <t>Proportion of Total Crashes</t>
  </si>
  <si>
    <r>
      <t>Adjusted N</t>
    </r>
    <r>
      <rPr>
        <b/>
        <vertAlign val="subscript"/>
        <sz val="10"/>
        <rFont val="Arial"/>
        <family val="2"/>
      </rPr>
      <t>brmv</t>
    </r>
  </si>
  <si>
    <r>
      <t>Predicted N</t>
    </r>
    <r>
      <rPr>
        <b/>
        <vertAlign val="subscript"/>
        <sz val="10"/>
        <rFont val="Arial"/>
        <family val="2"/>
      </rPr>
      <t>brmv</t>
    </r>
  </si>
  <si>
    <t>from Equation 12-10</t>
  </si>
  <si>
    <r>
      <t>(4)</t>
    </r>
    <r>
      <rPr>
        <vertAlign val="subscript"/>
        <sz val="10"/>
        <rFont val="Arial"/>
        <family val="2"/>
      </rPr>
      <t>TOTAL</t>
    </r>
    <r>
      <rPr>
        <sz val="10"/>
        <rFont val="Arial"/>
        <family val="2"/>
      </rPr>
      <t>*(5)</t>
    </r>
  </si>
  <si>
    <t>(6) from Worksheet 1B</t>
  </si>
  <si>
    <t>(6)*(7)*(8)</t>
  </si>
  <si>
    <r>
      <t>(4)</t>
    </r>
    <r>
      <rPr>
        <vertAlign val="subscript"/>
        <sz val="10"/>
        <rFont val="Arial"/>
        <family val="2"/>
      </rPr>
      <t>FI</t>
    </r>
    <r>
      <rPr>
        <sz val="10"/>
        <rFont val="Arial"/>
        <family val="2"/>
      </rPr>
      <t>/((4)</t>
    </r>
    <r>
      <rPr>
        <vertAlign val="subscript"/>
        <sz val="10"/>
        <rFont val="Arial"/>
        <family val="2"/>
      </rPr>
      <t>FI</t>
    </r>
    <r>
      <rPr>
        <sz val="10"/>
        <rFont val="Arial"/>
        <family val="2"/>
      </rPr>
      <t>+(4)</t>
    </r>
    <r>
      <rPr>
        <vertAlign val="subscript"/>
        <sz val="10"/>
        <rFont val="Arial"/>
        <family val="2"/>
      </rPr>
      <t>PDO</t>
    </r>
    <r>
      <rPr>
        <sz val="10"/>
        <rFont val="Arial"/>
        <family val="2"/>
      </rPr>
      <t>)</t>
    </r>
  </si>
  <si>
    <r>
      <t>(5)</t>
    </r>
    <r>
      <rPr>
        <vertAlign val="subscript"/>
        <sz val="10"/>
        <rFont val="Arial"/>
        <family val="2"/>
      </rPr>
      <t>TOTAL</t>
    </r>
    <r>
      <rPr>
        <sz val="10"/>
        <rFont val="Arial"/>
        <family val="2"/>
      </rPr>
      <t>-(5)</t>
    </r>
    <r>
      <rPr>
        <vertAlign val="subscript"/>
        <sz val="10"/>
        <rFont val="Arial"/>
        <family val="2"/>
      </rPr>
      <t>FI</t>
    </r>
  </si>
  <si>
    <t>Coefficients use in Eqn. 12-10</t>
  </si>
  <si>
    <t>Overdispersion    parameter     (k)</t>
  </si>
  <si>
    <t>Road type</t>
  </si>
  <si>
    <t>(a)</t>
  </si>
  <si>
    <t>(b)</t>
  </si>
  <si>
    <t>Intercept</t>
  </si>
  <si>
    <t>AADT</t>
  </si>
  <si>
    <t>Total crashes</t>
  </si>
  <si>
    <t>Fatal-and-injury crashes</t>
  </si>
  <si>
    <t>Property-damage-only crashes</t>
  </si>
  <si>
    <t>Worksheet 1D -- Multiple-Vehicle Nondriveway Collisions by Collision Type for Urban and Suburban Roadway Segments</t>
  </si>
  <si>
    <r>
      <t xml:space="preserve">Predicted N </t>
    </r>
    <r>
      <rPr>
        <b/>
        <i/>
        <vertAlign val="subscript"/>
        <sz val="10"/>
        <rFont val="Arial"/>
        <family val="2"/>
      </rPr>
      <t>brmv</t>
    </r>
    <r>
      <rPr>
        <b/>
        <vertAlign val="subscript"/>
        <sz val="10"/>
        <rFont val="Arial"/>
        <family val="2"/>
      </rPr>
      <t xml:space="preserve"> (TOTAL) </t>
    </r>
    <r>
      <rPr>
        <b/>
        <sz val="10"/>
        <rFont val="Arial"/>
        <family val="2"/>
      </rPr>
      <t>(crashes/year)</t>
    </r>
  </si>
  <si>
    <r>
      <t xml:space="preserve">Predicted N </t>
    </r>
    <r>
      <rPr>
        <b/>
        <i/>
        <sz val="6"/>
        <rFont val="Arial"/>
        <family val="2"/>
      </rPr>
      <t>brmv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</si>
  <si>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1C</t>
    </r>
  </si>
  <si>
    <r>
      <t xml:space="preserve">Predicted N </t>
    </r>
    <r>
      <rPr>
        <b/>
        <i/>
        <sz val="6"/>
        <rFont val="Arial"/>
        <family val="2"/>
      </rPr>
      <t>brmv</t>
    </r>
    <r>
      <rPr>
        <b/>
        <sz val="6"/>
        <rFont val="Arial"/>
        <family val="2"/>
      </rPr>
      <t xml:space="preserve"> (PDO)</t>
    </r>
    <r>
      <rPr>
        <b/>
        <sz val="10"/>
        <rFont val="Arial"/>
        <family val="2"/>
      </rPr>
      <t xml:space="preserve"> (crashes/year)</t>
    </r>
  </si>
  <si>
    <r>
      <t>(9)</t>
    </r>
    <r>
      <rPr>
        <sz val="6"/>
        <rFont val="Arial"/>
        <family val="2"/>
      </rPr>
      <t>PDO</t>
    </r>
    <r>
      <rPr>
        <sz val="10"/>
        <rFont val="Arial"/>
        <family val="2"/>
      </rPr>
      <t xml:space="preserve"> from Worksheet 1C</t>
    </r>
  </si>
  <si>
    <r>
      <t>(9)</t>
    </r>
    <r>
      <rPr>
        <sz val="6"/>
        <rFont val="Arial"/>
        <family val="2"/>
      </rPr>
      <t>TOTAL</t>
    </r>
    <r>
      <rPr>
        <sz val="10"/>
        <rFont val="Arial"/>
        <family val="2"/>
      </rPr>
      <t xml:space="preserve"> from Worksheet 1C</t>
    </r>
  </si>
  <si>
    <r>
      <t>(2)*(3)</t>
    </r>
    <r>
      <rPr>
        <vertAlign val="subscript"/>
        <sz val="10"/>
        <rFont val="Arial"/>
        <family val="2"/>
      </rPr>
      <t>FI</t>
    </r>
  </si>
  <si>
    <r>
      <t>(4)*(5)</t>
    </r>
    <r>
      <rPr>
        <vertAlign val="subscript"/>
        <sz val="10"/>
        <rFont val="Arial"/>
        <family val="2"/>
      </rPr>
      <t>PDO</t>
    </r>
  </si>
  <si>
    <t>(3)+(5)</t>
  </si>
  <si>
    <t>Sideswipe, same direction</t>
  </si>
  <si>
    <t>Sideswipe, opposite direction</t>
  </si>
  <si>
    <t>Proportion of crashes by severity level for specific road types</t>
  </si>
  <si>
    <t>FI</t>
  </si>
  <si>
    <t>Source: HSIS data for Washington (2002-2006)</t>
  </si>
  <si>
    <t>Other multiple-vehicle collision</t>
  </si>
  <si>
    <r>
      <t xml:space="preserve">Proportion of Collision Type </t>
    </r>
    <r>
      <rPr>
        <b/>
        <vertAlign val="subscript"/>
        <sz val="10"/>
        <rFont val="Arial"/>
        <family val="2"/>
      </rPr>
      <t>(PDO)</t>
    </r>
  </si>
  <si>
    <t>Worksheet 1E -- Single-Vehicle Collisions by Severity Level for Urban and Suburban Roadway Segments</t>
  </si>
  <si>
    <r>
      <t>Initial N</t>
    </r>
    <r>
      <rPr>
        <b/>
        <vertAlign val="subscript"/>
        <sz val="10"/>
        <rFont val="Arial"/>
        <family val="2"/>
      </rPr>
      <t>brsv</t>
    </r>
  </si>
  <si>
    <t>from Equation 12-13</t>
  </si>
  <si>
    <r>
      <t>Adjusted N</t>
    </r>
    <r>
      <rPr>
        <b/>
        <vertAlign val="subscript"/>
        <sz val="10"/>
        <rFont val="Arial"/>
        <family val="2"/>
      </rPr>
      <t>brsv</t>
    </r>
  </si>
  <si>
    <t>Coefficients use in Eqn. 12-11</t>
  </si>
  <si>
    <r>
      <t>Predicted N</t>
    </r>
    <r>
      <rPr>
        <b/>
        <vertAlign val="subscript"/>
        <sz val="10"/>
        <rFont val="Arial"/>
        <family val="2"/>
      </rPr>
      <t>brsv</t>
    </r>
  </si>
  <si>
    <t>Worksheet 1F -- Single-Vehicle Collisions by Collision Type for Urban and Suburban Roadway Segments</t>
  </si>
  <si>
    <t>Collision with animal</t>
  </si>
  <si>
    <t>Collision with fixed object</t>
  </si>
  <si>
    <t>Collision with other object</t>
  </si>
  <si>
    <t>Other single-vehicle collision</t>
  </si>
  <si>
    <r>
      <t xml:space="preserve">Predicted N </t>
    </r>
    <r>
      <rPr>
        <b/>
        <i/>
        <sz val="6"/>
        <rFont val="Arial"/>
        <family val="2"/>
      </rPr>
      <t>brsv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</si>
  <si>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1E</t>
    </r>
  </si>
  <si>
    <r>
      <t>(9)</t>
    </r>
    <r>
      <rPr>
        <sz val="6"/>
        <rFont val="Arial"/>
        <family val="2"/>
      </rPr>
      <t>PDO</t>
    </r>
    <r>
      <rPr>
        <sz val="10"/>
        <rFont val="Arial"/>
        <family val="2"/>
      </rPr>
      <t xml:space="preserve"> from Worksheet 1E</t>
    </r>
  </si>
  <si>
    <r>
      <t xml:space="preserve">Predicted N </t>
    </r>
    <r>
      <rPr>
        <b/>
        <i/>
        <vertAlign val="subscript"/>
        <sz val="10"/>
        <rFont val="Arial"/>
        <family val="2"/>
      </rPr>
      <t>brsv</t>
    </r>
    <r>
      <rPr>
        <b/>
        <vertAlign val="subscript"/>
        <sz val="10"/>
        <rFont val="Arial"/>
        <family val="2"/>
      </rPr>
      <t xml:space="preserve"> (TOTAL) </t>
    </r>
    <r>
      <rPr>
        <b/>
        <sz val="10"/>
        <rFont val="Arial"/>
        <family val="2"/>
      </rPr>
      <t>(crashes/year)</t>
    </r>
  </si>
  <si>
    <r>
      <t>(9)</t>
    </r>
    <r>
      <rPr>
        <sz val="6"/>
        <rFont val="Arial"/>
        <family val="2"/>
      </rPr>
      <t>TOTAL</t>
    </r>
    <r>
      <rPr>
        <sz val="10"/>
        <rFont val="Arial"/>
        <family val="2"/>
      </rPr>
      <t xml:space="preserve"> from Worksheet 1E</t>
    </r>
  </si>
  <si>
    <r>
      <t xml:space="preserve">Predicted N </t>
    </r>
    <r>
      <rPr>
        <b/>
        <i/>
        <sz val="6"/>
        <rFont val="Arial"/>
        <family val="2"/>
      </rPr>
      <t>brsv</t>
    </r>
    <r>
      <rPr>
        <b/>
        <sz val="6"/>
        <rFont val="Arial"/>
        <family val="2"/>
      </rPr>
      <t xml:space="preserve"> (PDO)</t>
    </r>
    <r>
      <rPr>
        <b/>
        <sz val="10"/>
        <rFont val="Arial"/>
        <family val="2"/>
      </rPr>
      <t xml:space="preserve"> (crashes/year)</t>
    </r>
  </si>
  <si>
    <t>Worksheet 1G -- Multiple-Vehicle Driveway-Related Collisions by Driveway Type for Urban and Suburban Roadway Segments</t>
  </si>
  <si>
    <t xml:space="preserve">Driveway Type </t>
  </si>
  <si>
    <t>Overdispersion parameter, k</t>
  </si>
  <si>
    <t>Coefficient for traffic adjustment, t</t>
  </si>
  <si>
    <r>
      <t>Crashes per driveway per year, N</t>
    </r>
    <r>
      <rPr>
        <b/>
        <vertAlign val="subscript"/>
        <sz val="10"/>
        <rFont val="Arial"/>
        <family val="2"/>
      </rPr>
      <t>j</t>
    </r>
  </si>
  <si>
    <r>
      <t>Initial N</t>
    </r>
    <r>
      <rPr>
        <b/>
        <vertAlign val="subscript"/>
        <sz val="10"/>
        <rFont val="Arial"/>
        <family val="2"/>
      </rPr>
      <t>brdwy</t>
    </r>
  </si>
  <si>
    <r>
      <t xml:space="preserve">  Number of driveways,   n</t>
    </r>
    <r>
      <rPr>
        <b/>
        <vertAlign val="subscript"/>
        <sz val="10"/>
        <rFont val="Arial"/>
        <family val="2"/>
      </rPr>
      <t>j</t>
    </r>
  </si>
  <si>
    <t>Equation 12-16</t>
  </si>
  <si>
    <r>
      <t>n</t>
    </r>
    <r>
      <rPr>
        <vertAlign val="subscript"/>
        <sz val="10"/>
        <rFont val="Arial"/>
        <family val="2"/>
      </rPr>
      <t>j</t>
    </r>
    <r>
      <rPr>
        <sz val="10"/>
        <rFont val="Arial"/>
        <family val="2"/>
      </rPr>
      <t xml:space="preserve"> * N</t>
    </r>
    <r>
      <rPr>
        <vertAlign val="subscript"/>
        <sz val="10"/>
        <rFont val="Arial"/>
        <family val="2"/>
      </rPr>
      <t>j</t>
    </r>
    <r>
      <rPr>
        <sz val="10"/>
        <rFont val="Arial"/>
        <family val="2"/>
      </rPr>
      <t xml:space="preserve"> * (AADT/15,000)</t>
    </r>
    <r>
      <rPr>
        <vertAlign val="superscript"/>
        <sz val="10"/>
        <rFont val="Arial"/>
        <family val="2"/>
      </rPr>
      <t>t</t>
    </r>
  </si>
  <si>
    <t>Major commercial</t>
  </si>
  <si>
    <t>Minor commercial</t>
  </si>
  <si>
    <t>Major industrial/institutional</t>
  </si>
  <si>
    <t>Minor industrial/institutional</t>
  </si>
  <si>
    <t>Major residential</t>
  </si>
  <si>
    <t>Minor residential</t>
  </si>
  <si>
    <t>Worksheet 1H -- Multiple-Vehicle Driveway-Related Collisions by Severity Level for Urban and Suburban Roadway Segments</t>
  </si>
  <si>
    <r>
      <t>Proportion of total crashes (f</t>
    </r>
    <r>
      <rPr>
        <b/>
        <vertAlign val="subscript"/>
        <sz val="10"/>
        <rFont val="Arial"/>
        <family val="2"/>
      </rPr>
      <t>dwy</t>
    </r>
    <r>
      <rPr>
        <b/>
        <sz val="10"/>
        <rFont val="Arial"/>
        <family val="2"/>
      </rPr>
      <t>)</t>
    </r>
  </si>
  <si>
    <r>
      <t>Adjusted N</t>
    </r>
    <r>
      <rPr>
        <b/>
        <vertAlign val="subscript"/>
        <sz val="10"/>
        <rFont val="Arial"/>
        <family val="2"/>
      </rPr>
      <t>brdwy</t>
    </r>
  </si>
  <si>
    <r>
      <t>Calibration factor, C</t>
    </r>
    <r>
      <rPr>
        <b/>
        <vertAlign val="subscript"/>
        <sz val="10"/>
        <rFont val="Arial"/>
        <family val="2"/>
      </rPr>
      <t>r</t>
    </r>
  </si>
  <si>
    <r>
      <t>Predicted N</t>
    </r>
    <r>
      <rPr>
        <b/>
        <vertAlign val="subscript"/>
        <sz val="10"/>
        <rFont val="Arial"/>
        <family val="2"/>
      </rPr>
      <t>brdwy</t>
    </r>
  </si>
  <si>
    <r>
      <t>(5)</t>
    </r>
    <r>
      <rPr>
        <vertAlign val="subscript"/>
        <sz val="10"/>
        <rFont val="Arial"/>
        <family val="2"/>
      </rPr>
      <t>TOTAL</t>
    </r>
    <r>
      <rPr>
        <sz val="10"/>
        <rFont val="Arial"/>
        <family val="2"/>
      </rPr>
      <t xml:space="preserve"> from Worksheet 1G</t>
    </r>
  </si>
  <si>
    <r>
      <t>(2)</t>
    </r>
    <r>
      <rPr>
        <vertAlign val="subscript"/>
        <sz val="10"/>
        <rFont val="Arial"/>
        <family val="2"/>
      </rPr>
      <t>TOTAL</t>
    </r>
    <r>
      <rPr>
        <sz val="10"/>
        <rFont val="Arial"/>
        <family val="2"/>
      </rPr>
      <t xml:space="preserve"> * (3)</t>
    </r>
  </si>
  <si>
    <t>(4)*(5)*(6)</t>
  </si>
  <si>
    <t>Worksheet 1I -- Vehicle-Pedestrian Collisions for Urban and Suburban Roadway Segments</t>
  </si>
  <si>
    <r>
      <t>Predicted N</t>
    </r>
    <r>
      <rPr>
        <b/>
        <vertAlign val="subscript"/>
        <sz val="10"/>
        <rFont val="Arial"/>
        <family val="2"/>
      </rPr>
      <t>pedr</t>
    </r>
  </si>
  <si>
    <t>(5)*(6)*(7)</t>
  </si>
  <si>
    <r>
      <t>f</t>
    </r>
    <r>
      <rPr>
        <b/>
        <vertAlign val="subscript"/>
        <sz val="10"/>
        <rFont val="Arial"/>
        <family val="2"/>
      </rPr>
      <t>biker</t>
    </r>
  </si>
  <si>
    <r>
      <t>Predicted N</t>
    </r>
    <r>
      <rPr>
        <b/>
        <vertAlign val="subscript"/>
        <sz val="10"/>
        <rFont val="Arial"/>
        <family val="2"/>
      </rPr>
      <t>br</t>
    </r>
  </si>
  <si>
    <t>(9) from Worksheet 1C</t>
  </si>
  <si>
    <t>(9) from Worksheet 1E</t>
  </si>
  <si>
    <t>(7) from Worksheet 1H</t>
  </si>
  <si>
    <t>(2)+(3)+(4)</t>
  </si>
  <si>
    <t>Worksheet 1J -- Vehicle-Bicycle Collisions for Urban and Suburban Roadway Segments</t>
  </si>
  <si>
    <r>
      <t>f</t>
    </r>
    <r>
      <rPr>
        <b/>
        <vertAlign val="subscript"/>
        <sz val="10"/>
        <rFont val="Arial"/>
        <family val="2"/>
      </rPr>
      <t>pedr</t>
    </r>
  </si>
  <si>
    <t>Worksheet 1K -- Crash Severity Distribution for Urban and Suburban Roadway Segments</t>
  </si>
  <si>
    <t>(3) from Worksheet 1D and 1F;</t>
  </si>
  <si>
    <t>(8) from Worksheet 1I and 1J</t>
  </si>
  <si>
    <t>(5) from Worksheet 1D and 1F; and</t>
  </si>
  <si>
    <t>(7) from Worksheet 1H; and</t>
  </si>
  <si>
    <t>(6) from Worksheet 1D and 1F;</t>
  </si>
  <si>
    <t>MULTIPLE-VEHICLE</t>
  </si>
  <si>
    <t>SINGLE-VEHICLE</t>
  </si>
  <si>
    <t>Rear-end collisions (from Worksheet 1D)</t>
  </si>
  <si>
    <t>Head-on collisions (from Worksheet 1D)</t>
  </si>
  <si>
    <t>Angle collisions (from Worksheet 1D)</t>
  </si>
  <si>
    <t>Sideswipe, same direction (from Worksheet 1D)</t>
  </si>
  <si>
    <t>Sideswipe, opposite direction (from Worksheet 1D)</t>
  </si>
  <si>
    <t>Driveway-related collisions (from Worksheet 1H)</t>
  </si>
  <si>
    <t>Other multiple-vehicle collision (from Worksheet 1D)</t>
  </si>
  <si>
    <t>Subtotal</t>
  </si>
  <si>
    <t>Collision with animal (from Worksheet 1F)</t>
  </si>
  <si>
    <t>Collision with fixed object (from Worksheet 1F)</t>
  </si>
  <si>
    <t>Collision with other object (from Worksheet 1F)</t>
  </si>
  <si>
    <t>Other single-vehicle collision (from Worksheet 1F)</t>
  </si>
  <si>
    <t>Collision with pedestrian (from Worksheet 1I)</t>
  </si>
  <si>
    <t>Collision with bicycle (from Worksheet 1J)</t>
  </si>
  <si>
    <t>Worksheet 1L -- Summary Results for Urban and Suburban Roadway Segments</t>
  </si>
  <si>
    <r>
      <t>Predicted average crash frequency, N</t>
    </r>
    <r>
      <rPr>
        <b/>
        <vertAlign val="subscript"/>
        <sz val="10"/>
        <rFont val="Arial"/>
        <family val="2"/>
      </rPr>
      <t xml:space="preserve"> predicted rs</t>
    </r>
    <r>
      <rPr>
        <b/>
        <sz val="10"/>
        <rFont val="Arial"/>
        <family val="2"/>
      </rPr>
      <t xml:space="preserve"> (crashes/year)</t>
    </r>
  </si>
  <si>
    <t>Roadway segment length, L (mi)</t>
  </si>
  <si>
    <t>Crash rate (crashes/mi/year)</t>
  </si>
  <si>
    <t>(Total) from Worksheet 1K</t>
  </si>
  <si>
    <t>(2) / (3)</t>
  </si>
  <si>
    <t>Driveway type (j)</t>
  </si>
  <si>
    <r>
      <t>Number of driveway-related collisions per driveway per year (N</t>
    </r>
    <r>
      <rPr>
        <b/>
        <vertAlign val="subscript"/>
        <sz val="10"/>
        <rFont val="Arial"/>
        <family val="2"/>
      </rPr>
      <t>j</t>
    </r>
    <r>
      <rPr>
        <b/>
        <sz val="10"/>
        <rFont val="Arial"/>
        <family val="2"/>
      </rPr>
      <t>)</t>
    </r>
  </si>
  <si>
    <t>Major industrial / industrial</t>
  </si>
  <si>
    <t>Minor industrial / institutional</t>
  </si>
  <si>
    <t>Regression coefficient for AADT (t)</t>
  </si>
  <si>
    <t>All driveways</t>
  </si>
  <si>
    <t>Overdispersion parameter (k)</t>
  </si>
  <si>
    <r>
      <t>Proportion of fatal-and-injury crashes (f</t>
    </r>
    <r>
      <rPr>
        <b/>
        <vertAlign val="subscript"/>
        <sz val="10"/>
        <rFont val="Arial"/>
        <family val="2"/>
      </rPr>
      <t>dwy</t>
    </r>
    <r>
      <rPr>
        <b/>
        <sz val="10"/>
        <rFont val="Arial"/>
        <family val="2"/>
      </rPr>
      <t>)</t>
    </r>
  </si>
  <si>
    <t>Proportion of property-damage-only crashes</t>
  </si>
  <si>
    <t>Coefficients for specific roadway types</t>
  </si>
  <si>
    <t>Note: Includes only unsignalized driveways; signalized driveways are analyzed as signalized intersections. Majjor driveways serve 50 or more parking spaces; minor driveways serve less thanh 50 parking spaces.</t>
  </si>
  <si>
    <t>Posted Speed 30 mph or Lower</t>
  </si>
  <si>
    <t>Posted Speed Greater than 30 mph</t>
  </si>
  <si>
    <t>Posted</t>
  </si>
  <si>
    <r>
      <t>Pedestrian Crash Adjustment Factor (f</t>
    </r>
    <r>
      <rPr>
        <b/>
        <vertAlign val="subscript"/>
        <sz val="10"/>
        <rFont val="Arial"/>
        <family val="2"/>
      </rPr>
      <t>pedr</t>
    </r>
    <r>
      <rPr>
        <b/>
        <sz val="10"/>
        <rFont val="Arial"/>
        <family val="2"/>
      </rPr>
      <t>)</t>
    </r>
  </si>
  <si>
    <r>
      <t>Bicycle Crash Adjustment Factor (f</t>
    </r>
    <r>
      <rPr>
        <b/>
        <vertAlign val="subscript"/>
        <sz val="10"/>
        <rFont val="Arial"/>
        <family val="2"/>
      </rPr>
      <t>biker</t>
    </r>
    <r>
      <rPr>
        <b/>
        <sz val="10"/>
        <rFont val="Arial"/>
        <family val="2"/>
      </rPr>
      <t>)</t>
    </r>
  </si>
  <si>
    <t>Note:  These factors apply to the methodology for predicting total crashes (all seerity levels combined). All pedestrian collisions resulting from this adjustment factor are treated as fatal-and-injury crashes and none as property-damage-only crashes.  Source:  HSIS data for Washington (2002-2006)</t>
  </si>
  <si>
    <t>Note:  These factors apply to the methodology for predicting total crashes (all seerity levels combined). All bicycle collisions resulting from this adjustment factor are treated as fatal-and-injury crashes and none as property-damage-only crashes.  Source:  HSIS data for Washington (2002-2006)</t>
  </si>
  <si>
    <t>Note:  Values from 2 to 30 can be estimated using the following equation:</t>
  </si>
  <si>
    <r>
      <t>y=0.3566 x</t>
    </r>
    <r>
      <rPr>
        <vertAlign val="superscript"/>
        <sz val="10"/>
        <rFont val="Arial"/>
        <family val="2"/>
      </rPr>
      <t>-0.614</t>
    </r>
  </si>
  <si>
    <r>
      <t>f</t>
    </r>
    <r>
      <rPr>
        <vertAlign val="subscript"/>
        <sz val="10"/>
        <rFont val="Arial"/>
        <family val="2"/>
      </rPr>
      <t>offset</t>
    </r>
  </si>
  <si>
    <t>Offset to roadside fixed objects (ft) [If greater than 30 or Not Present, input 30]</t>
  </si>
  <si>
    <r>
      <t>Calculated CMF</t>
    </r>
    <r>
      <rPr>
        <vertAlign val="subscript"/>
        <sz val="10"/>
        <rFont val="Arial"/>
        <family val="2"/>
      </rPr>
      <t>2r</t>
    </r>
  </si>
  <si>
    <r>
      <t>Adjusted CMF</t>
    </r>
    <r>
      <rPr>
        <vertAlign val="subscript"/>
        <sz val="10"/>
        <rFont val="Arial"/>
        <family val="2"/>
      </rPr>
      <t>2r</t>
    </r>
  </si>
  <si>
    <t>Worksheet 2A -- General Information and Input Data for Urban and Suburban Arterial Intersections</t>
  </si>
  <si>
    <t>Intersection type (3ST, 3SG, 4ST, 4SG)</t>
  </si>
  <si>
    <r>
      <t xml:space="preserve">AADT </t>
    </r>
    <r>
      <rPr>
        <vertAlign val="subscript"/>
        <sz val="10"/>
        <rFont val="Arial"/>
        <family val="2"/>
      </rPr>
      <t>major</t>
    </r>
    <r>
      <rPr>
        <sz val="10"/>
        <rFont val="Arial"/>
        <family val="2"/>
      </rPr>
      <t xml:space="preserve"> (veh/day)</t>
    </r>
  </si>
  <si>
    <r>
      <t xml:space="preserve">AADT </t>
    </r>
    <r>
      <rPr>
        <vertAlign val="subscript"/>
        <sz val="10"/>
        <rFont val="Arial"/>
        <family val="2"/>
      </rPr>
      <t>minor</t>
    </r>
    <r>
      <rPr>
        <sz val="10"/>
        <rFont val="Arial"/>
        <family val="2"/>
      </rPr>
      <t xml:space="preserve"> (veh/day)</t>
    </r>
  </si>
  <si>
    <r>
      <t>Calibration factor, C</t>
    </r>
    <r>
      <rPr>
        <vertAlign val="subscript"/>
        <sz val="10"/>
        <rFont val="Arial"/>
        <family val="2"/>
      </rPr>
      <t>i</t>
    </r>
  </si>
  <si>
    <t>Data for unsignalized intersections only:</t>
  </si>
  <si>
    <t>Number of alcohol sales establishments within 300 m (1,000 ft) of the intersection</t>
  </si>
  <si>
    <t>Schools within 300 m (1,000 ft) of the intersection (present/not present)</t>
  </si>
  <si>
    <t>Number of bus stops within 300 m (1,000 ft) of the intersection</t>
  </si>
  <si>
    <r>
      <t>Maximum number of lanes crossed by a pedestrian (n</t>
    </r>
    <r>
      <rPr>
        <vertAlign val="subscript"/>
        <sz val="10"/>
        <rFont val="Arial"/>
        <family val="2"/>
      </rPr>
      <t>lanesx</t>
    </r>
    <r>
      <rPr>
        <sz val="10"/>
        <rFont val="Arial"/>
        <family val="2"/>
      </rPr>
      <t>)</t>
    </r>
  </si>
  <si>
    <t>Intersection red light cameras (present/not present)</t>
  </si>
  <si>
    <t>Permissive</t>
  </si>
  <si>
    <t>Tlanes</t>
  </si>
  <si>
    <t>Worksheet 2B -- Crash Modification Factors for Urban and Suburban Arterial Intersections</t>
  </si>
  <si>
    <t>CMF 1i</t>
  </si>
  <si>
    <t>CMF for Left-Turn Signal Phasing</t>
  </si>
  <si>
    <t>CMF 2i</t>
  </si>
  <si>
    <t>CMF 3i</t>
  </si>
  <si>
    <t>CMF for Right Turn on Red</t>
  </si>
  <si>
    <t>CMF 4i</t>
  </si>
  <si>
    <t>from Equation 12-35</t>
  </si>
  <si>
    <t>CMF 5i</t>
  </si>
  <si>
    <t>from Equation 12-36</t>
  </si>
  <si>
    <t>CMF 6i</t>
  </si>
  <si>
    <t>from Equation 12-37</t>
  </si>
  <si>
    <t>CMF for Red Light Cameras</t>
  </si>
  <si>
    <r>
      <t xml:space="preserve">CMF </t>
    </r>
    <r>
      <rPr>
        <i/>
        <vertAlign val="subscript"/>
        <sz val="10"/>
        <rFont val="Arial"/>
        <family val="2"/>
      </rPr>
      <t>COMB</t>
    </r>
  </si>
  <si>
    <t>(1)*(2)*(3)*(4)*(5)*(6)</t>
  </si>
  <si>
    <t>Worksheet 2C -- Multiple-Vehicle Collisions by Severity Level for Urban and Suburban Arterial Intersections</t>
  </si>
  <si>
    <r>
      <t>Initial N</t>
    </r>
    <r>
      <rPr>
        <b/>
        <vertAlign val="subscript"/>
        <sz val="10"/>
        <rFont val="Arial"/>
        <family val="2"/>
      </rPr>
      <t>bimv</t>
    </r>
  </si>
  <si>
    <t>c</t>
  </si>
  <si>
    <r>
      <t>Adjusted N</t>
    </r>
    <r>
      <rPr>
        <b/>
        <vertAlign val="subscript"/>
        <sz val="10"/>
        <rFont val="Arial"/>
        <family val="2"/>
      </rPr>
      <t>bimv</t>
    </r>
  </si>
  <si>
    <r>
      <t>Predicted N</t>
    </r>
    <r>
      <rPr>
        <b/>
        <vertAlign val="subscript"/>
        <sz val="10"/>
        <rFont val="Arial"/>
        <family val="2"/>
      </rPr>
      <t>bimv</t>
    </r>
  </si>
  <si>
    <t>Worksheet 2D -- Multiple-Vehicle Collisions by Collision Type for Urban and Suburban Arterial Intersections</t>
  </si>
  <si>
    <r>
      <t xml:space="preserve">Predicted N </t>
    </r>
    <r>
      <rPr>
        <b/>
        <i/>
        <sz val="6"/>
        <rFont val="Arial"/>
        <family val="2"/>
      </rPr>
      <t>bimv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</si>
  <si>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2C</t>
    </r>
  </si>
  <si>
    <r>
      <t xml:space="preserve">Predicted N </t>
    </r>
    <r>
      <rPr>
        <b/>
        <i/>
        <sz val="6"/>
        <rFont val="Arial"/>
        <family val="2"/>
      </rPr>
      <t>bimv</t>
    </r>
    <r>
      <rPr>
        <b/>
        <sz val="6"/>
        <rFont val="Arial"/>
        <family val="2"/>
      </rPr>
      <t xml:space="preserve"> (PDO)</t>
    </r>
    <r>
      <rPr>
        <b/>
        <sz val="10"/>
        <rFont val="Arial"/>
        <family val="2"/>
      </rPr>
      <t xml:space="preserve"> (crashes/year)</t>
    </r>
  </si>
  <si>
    <r>
      <t xml:space="preserve">Predicted N </t>
    </r>
    <r>
      <rPr>
        <b/>
        <i/>
        <vertAlign val="subscript"/>
        <sz val="10"/>
        <rFont val="Arial"/>
        <family val="2"/>
      </rPr>
      <t>bimv</t>
    </r>
    <r>
      <rPr>
        <b/>
        <vertAlign val="subscript"/>
        <sz val="10"/>
        <rFont val="Arial"/>
        <family val="2"/>
      </rPr>
      <t xml:space="preserve"> (TOTAL) </t>
    </r>
    <r>
      <rPr>
        <b/>
        <sz val="10"/>
        <rFont val="Arial"/>
        <family val="2"/>
      </rPr>
      <t>(crashes/year)</t>
    </r>
  </si>
  <si>
    <t>Worksheet 2E -- Single-Vehicle Collisions by Severity Level for Urban and Suburban Arterial Intersections</t>
  </si>
  <si>
    <r>
      <t>Initial N</t>
    </r>
    <r>
      <rPr>
        <b/>
        <vertAlign val="subscript"/>
        <sz val="10"/>
        <rFont val="Arial"/>
        <family val="2"/>
      </rPr>
      <t>bisv</t>
    </r>
  </si>
  <si>
    <t>(7) from Worksheet 2B</t>
  </si>
  <si>
    <r>
      <t>Predicted N</t>
    </r>
    <r>
      <rPr>
        <b/>
        <vertAlign val="subscript"/>
        <sz val="10"/>
        <rFont val="Arial"/>
        <family val="2"/>
      </rPr>
      <t>bisv</t>
    </r>
  </si>
  <si>
    <t>Worksheet 2F -- Single-Vehicle Collisions by Collision Type for Urban and Suburban Arterial Intersections</t>
  </si>
  <si>
    <t>Collision with parked vehicle</t>
  </si>
  <si>
    <t>Single-vehicle noncollision</t>
  </si>
  <si>
    <r>
      <t>(9)</t>
    </r>
    <r>
      <rPr>
        <sz val="6"/>
        <rFont val="Arial"/>
        <family val="2"/>
      </rPr>
      <t>PDO</t>
    </r>
    <r>
      <rPr>
        <sz val="10"/>
        <rFont val="Arial"/>
        <family val="2"/>
      </rPr>
      <t xml:space="preserve"> from Worksheet 2C</t>
    </r>
  </si>
  <si>
    <r>
      <t>(9)</t>
    </r>
    <r>
      <rPr>
        <sz val="6"/>
        <rFont val="Arial"/>
        <family val="2"/>
      </rPr>
      <t>FI</t>
    </r>
    <r>
      <rPr>
        <sz val="10"/>
        <rFont val="Arial"/>
        <family val="2"/>
      </rPr>
      <t xml:space="preserve"> from Worksheet 2E</t>
    </r>
  </si>
  <si>
    <r>
      <t>(9)</t>
    </r>
    <r>
      <rPr>
        <sz val="6"/>
        <rFont val="Arial"/>
        <family val="2"/>
      </rPr>
      <t>PDO</t>
    </r>
    <r>
      <rPr>
        <sz val="10"/>
        <rFont val="Arial"/>
        <family val="2"/>
      </rPr>
      <t xml:space="preserve"> from Worksheet 2E</t>
    </r>
  </si>
  <si>
    <r>
      <t xml:space="preserve">Predicted N </t>
    </r>
    <r>
      <rPr>
        <b/>
        <i/>
        <vertAlign val="subscript"/>
        <sz val="10"/>
        <rFont val="Arial"/>
        <family val="2"/>
      </rPr>
      <t>bisv</t>
    </r>
    <r>
      <rPr>
        <b/>
        <vertAlign val="subscript"/>
        <sz val="10"/>
        <rFont val="Arial"/>
        <family val="2"/>
      </rPr>
      <t xml:space="preserve"> (TOTAL) </t>
    </r>
    <r>
      <rPr>
        <b/>
        <sz val="10"/>
        <rFont val="Arial"/>
        <family val="2"/>
      </rPr>
      <t>(crashes/year)</t>
    </r>
  </si>
  <si>
    <r>
      <t>Predicted N</t>
    </r>
    <r>
      <rPr>
        <b/>
        <i/>
        <sz val="10"/>
        <rFont val="Arial"/>
        <family val="2"/>
      </rPr>
      <t xml:space="preserve"> </t>
    </r>
    <r>
      <rPr>
        <b/>
        <i/>
        <sz val="6"/>
        <rFont val="Arial"/>
        <family val="2"/>
      </rPr>
      <t>bisv</t>
    </r>
    <r>
      <rPr>
        <b/>
        <sz val="6"/>
        <rFont val="Arial"/>
        <family val="2"/>
      </rPr>
      <t xml:space="preserve"> (PDO)</t>
    </r>
    <r>
      <rPr>
        <b/>
        <sz val="10"/>
        <rFont val="Arial"/>
        <family val="2"/>
      </rPr>
      <t xml:space="preserve"> (crashes/year)</t>
    </r>
  </si>
  <si>
    <r>
      <t xml:space="preserve">Predicted N </t>
    </r>
    <r>
      <rPr>
        <b/>
        <i/>
        <sz val="6"/>
        <rFont val="Arial"/>
        <family val="2"/>
      </rPr>
      <t>bisv</t>
    </r>
    <r>
      <rPr>
        <b/>
        <sz val="6"/>
        <rFont val="Arial"/>
        <family val="2"/>
      </rPr>
      <t xml:space="preserve"> (FI)</t>
    </r>
    <r>
      <rPr>
        <b/>
        <sz val="10"/>
        <rFont val="Arial"/>
        <family val="2"/>
      </rPr>
      <t xml:space="preserve"> (crashes/year)</t>
    </r>
  </si>
  <si>
    <t>Worksheet 2G -- Vehicle-Pedestrian Collisions for Urban and Suburban Arterial Stop-Controlled Intersections</t>
  </si>
  <si>
    <t>(9) from Worksheet 2C</t>
  </si>
  <si>
    <t>(9) from Worksheet 2E</t>
  </si>
  <si>
    <r>
      <t>Predicted N</t>
    </r>
    <r>
      <rPr>
        <b/>
        <vertAlign val="subscript"/>
        <sz val="10"/>
        <rFont val="Arial"/>
        <family val="2"/>
      </rPr>
      <t>bi</t>
    </r>
  </si>
  <si>
    <r>
      <t>(2)</t>
    </r>
    <r>
      <rPr>
        <sz val="10"/>
        <rFont val="Arial"/>
        <family val="2"/>
      </rPr>
      <t xml:space="preserve"> + (3)</t>
    </r>
  </si>
  <si>
    <r>
      <t>f</t>
    </r>
    <r>
      <rPr>
        <b/>
        <i/>
        <vertAlign val="subscript"/>
        <sz val="10"/>
        <rFont val="Arial"/>
        <family val="2"/>
      </rPr>
      <t>pedi</t>
    </r>
  </si>
  <si>
    <r>
      <t>Calibration factor, C</t>
    </r>
    <r>
      <rPr>
        <b/>
        <vertAlign val="subscript"/>
        <sz val="10"/>
        <rFont val="Arial"/>
        <family val="2"/>
      </rPr>
      <t>i</t>
    </r>
  </si>
  <si>
    <r>
      <t>Predicted N</t>
    </r>
    <r>
      <rPr>
        <b/>
        <vertAlign val="subscript"/>
        <sz val="10"/>
        <rFont val="Arial"/>
        <family val="2"/>
      </rPr>
      <t>pedi</t>
    </r>
  </si>
  <si>
    <t>Worksheet 2H -- Crash Modification Factors for Vehicle-Pedestrian Collisions for Urban and Suburban Arterial Signalized Intersections</t>
  </si>
  <si>
    <t>CMF for Bus Stops</t>
  </si>
  <si>
    <t>CMF for Schools</t>
  </si>
  <si>
    <t>CMF for Alcohol Sales Establishments</t>
  </si>
  <si>
    <r>
      <t>CMF</t>
    </r>
    <r>
      <rPr>
        <vertAlign val="subscript"/>
        <sz val="10"/>
        <rFont val="Arial"/>
        <family val="2"/>
      </rPr>
      <t>1p</t>
    </r>
  </si>
  <si>
    <r>
      <t>CMF</t>
    </r>
    <r>
      <rPr>
        <vertAlign val="subscript"/>
        <sz val="10"/>
        <rFont val="Arial"/>
        <family val="2"/>
      </rPr>
      <t>2p</t>
    </r>
  </si>
  <si>
    <r>
      <t>CMF</t>
    </r>
    <r>
      <rPr>
        <vertAlign val="subscript"/>
        <sz val="10"/>
        <rFont val="Arial"/>
        <family val="2"/>
      </rPr>
      <t>3p</t>
    </r>
  </si>
  <si>
    <t>(1)*(2)*(3)</t>
  </si>
  <si>
    <t>Worksheet 2I -- Vehicle-Pedestrian Collisions for Urban and Suburban Arterial Signalized Intersections</t>
  </si>
  <si>
    <t>d</t>
  </si>
  <si>
    <t>e</t>
  </si>
  <si>
    <r>
      <t>N</t>
    </r>
    <r>
      <rPr>
        <b/>
        <i/>
        <vertAlign val="subscript"/>
        <sz val="10"/>
        <rFont val="Arial"/>
        <family val="2"/>
      </rPr>
      <t>pedbase</t>
    </r>
  </si>
  <si>
    <t>(4) from Worksheet 2H</t>
  </si>
  <si>
    <r>
      <t>f</t>
    </r>
    <r>
      <rPr>
        <b/>
        <i/>
        <vertAlign val="subscript"/>
        <sz val="10"/>
        <rFont val="Arial"/>
        <family val="2"/>
      </rPr>
      <t>bikei</t>
    </r>
  </si>
  <si>
    <t>Worksheet 2K -- Crash Severity Distribution for Urban and Suburban Arterial Intersections</t>
  </si>
  <si>
    <t>(3) from Worksheet 2D and 2F;</t>
  </si>
  <si>
    <t>(7) from 2G or 2I and 2J</t>
  </si>
  <si>
    <t>(5) from Worksheet 2D and 2F</t>
  </si>
  <si>
    <t>(6) from Worksheet 2D and 2F;</t>
  </si>
  <si>
    <t>Rear-end collisions (from Worksheet 2D)</t>
  </si>
  <si>
    <t>Head-on collisions (from Worksheet 2D)</t>
  </si>
  <si>
    <t>Angle collisions (from Worksheet 2D)</t>
  </si>
  <si>
    <t>Sideswipe (from Worksheet 2D)</t>
  </si>
  <si>
    <t>Other multiple-vehicle collision (from Worksheet 2D)</t>
  </si>
  <si>
    <t>Collision with parked vehicle (from Worksheet 2F)</t>
  </si>
  <si>
    <t>Collision with animal (from Worksheet 2F)</t>
  </si>
  <si>
    <t>Collision with fixed object (from Worksheet 2F)</t>
  </si>
  <si>
    <t>Collision with other object (from Worksheet 2F)</t>
  </si>
  <si>
    <t>Other single-vehicle collision (from Worksheet 2F)</t>
  </si>
  <si>
    <t>Single-vehicle noncollision (from Worksheet 2F)</t>
  </si>
  <si>
    <t>Collision with pedestrian (from Worksheet 2G or 2I)</t>
  </si>
  <si>
    <t>Collision with bicycle (from Worksheet 2J)</t>
  </si>
  <si>
    <t>Worksheet 2L -- Summary Results for Urban and Suburban Arterial Intersections</t>
  </si>
  <si>
    <r>
      <t>Predicted average crash frequency, N</t>
    </r>
    <r>
      <rPr>
        <b/>
        <i/>
        <vertAlign val="subscript"/>
        <sz val="10"/>
        <rFont val="Arial"/>
        <family val="2"/>
      </rPr>
      <t>predicted int</t>
    </r>
    <r>
      <rPr>
        <b/>
        <sz val="10"/>
        <rFont val="Arial"/>
        <family val="2"/>
      </rPr>
      <t xml:space="preserve"> (crashes/year)</t>
    </r>
  </si>
  <si>
    <t>(Total) from Worksheet 2K</t>
  </si>
  <si>
    <t>Tables Affiliated with SPF Computation:</t>
  </si>
  <si>
    <t>(c)</t>
  </si>
  <si>
    <t>Intersection type</t>
  </si>
  <si>
    <r>
      <t>AADT</t>
    </r>
    <r>
      <rPr>
        <b/>
        <vertAlign val="subscript"/>
        <sz val="10"/>
        <rFont val="Arial"/>
        <family val="2"/>
      </rPr>
      <t>maj</t>
    </r>
  </si>
  <si>
    <r>
      <t>AADT</t>
    </r>
    <r>
      <rPr>
        <b/>
        <vertAlign val="subscript"/>
        <sz val="10"/>
        <rFont val="Arial"/>
        <family val="2"/>
      </rPr>
      <t>min</t>
    </r>
  </si>
  <si>
    <t>Coefficients use in Eqn. 12-21</t>
  </si>
  <si>
    <t>3SG</t>
  </si>
  <si>
    <t>Coefficients use in Eqn. 12-24</t>
  </si>
  <si>
    <t>Note:  Where no models are available, Equations 12-27 is used.</t>
  </si>
  <si>
    <t>Equation 12-27:</t>
  </si>
  <si>
    <t>Nbisv(FI) = Nbisv(TOTAL) x fbisv</t>
  </si>
  <si>
    <t>Coefficients use in Eqn. 12-29</t>
  </si>
  <si>
    <r>
      <t>AADT</t>
    </r>
    <r>
      <rPr>
        <b/>
        <vertAlign val="subscript"/>
        <sz val="10"/>
        <rFont val="Arial"/>
        <family val="2"/>
      </rPr>
      <t>tot</t>
    </r>
  </si>
  <si>
    <r>
      <t>AADT</t>
    </r>
    <r>
      <rPr>
        <b/>
        <vertAlign val="subscript"/>
        <sz val="10"/>
        <rFont val="Arial"/>
        <family val="2"/>
      </rPr>
      <t>min</t>
    </r>
    <r>
      <rPr>
        <b/>
        <sz val="10"/>
        <rFont val="Arial"/>
        <family val="2"/>
      </rPr>
      <t>/AADT</t>
    </r>
    <r>
      <rPr>
        <b/>
        <vertAlign val="subscript"/>
        <sz val="10"/>
        <rFont val="Arial"/>
        <family val="2"/>
      </rPr>
      <t>maj</t>
    </r>
  </si>
  <si>
    <t>(d)</t>
  </si>
  <si>
    <t>PedVol</t>
  </si>
  <si>
    <t>(e)</t>
  </si>
  <si>
    <r>
      <t>n</t>
    </r>
    <r>
      <rPr>
        <b/>
        <vertAlign val="subscript"/>
        <sz val="10"/>
        <rFont val="Arial"/>
        <family val="2"/>
      </rPr>
      <t>lanesx</t>
    </r>
  </si>
  <si>
    <t>Proportion of crashes by severity level for specific intersection types</t>
  </si>
  <si>
    <t>Tables Affiliated with Crash Statistics:</t>
  </si>
  <si>
    <t>Noncollision</t>
  </si>
  <si>
    <t>Intersection Type</t>
  </si>
  <si>
    <r>
      <t>Proportion of crashes that occur at night, p</t>
    </r>
    <r>
      <rPr>
        <b/>
        <vertAlign val="subscript"/>
        <sz val="10"/>
        <rFont val="Arial"/>
        <family val="2"/>
      </rPr>
      <t>ni</t>
    </r>
  </si>
  <si>
    <t>Tables Affiliated with Crash Modification Factors:</t>
  </si>
  <si>
    <t>Intersection traffic control</t>
  </si>
  <si>
    <r>
      <t>Minor-road STOP control</t>
    </r>
    <r>
      <rPr>
        <vertAlign val="superscript"/>
        <sz val="10"/>
        <rFont val="Arial"/>
        <family val="2"/>
      </rPr>
      <t>b</t>
    </r>
  </si>
  <si>
    <t>Traffic signal</t>
  </si>
  <si>
    <r>
      <t>Minor-road STOP control</t>
    </r>
    <r>
      <rPr>
        <vertAlign val="superscript"/>
        <sz val="10"/>
        <rFont val="Arial"/>
        <family val="2"/>
      </rPr>
      <t>a</t>
    </r>
  </si>
  <si>
    <r>
      <t xml:space="preserve">a </t>
    </r>
    <r>
      <rPr>
        <sz val="8"/>
        <rFont val="Arial"/>
        <family val="2"/>
      </rPr>
      <t>STOP-controlled approaches are not considered in determining the number of approaches with left-turn lanes.</t>
    </r>
  </si>
  <si>
    <r>
      <t xml:space="preserve">b </t>
    </r>
    <r>
      <rPr>
        <sz val="8"/>
        <rFont val="Arial"/>
        <family val="2"/>
      </rPr>
      <t>Stop signs present on minor-road approaches only.</t>
    </r>
  </si>
  <si>
    <t>Two approaches</t>
  </si>
  <si>
    <t xml:space="preserve"> One  approach</t>
  </si>
  <si>
    <t>Three approaches</t>
  </si>
  <si>
    <t>Four approaches</t>
  </si>
  <si>
    <r>
      <t xml:space="preserve">Number of approaches with left-turn lanes </t>
    </r>
    <r>
      <rPr>
        <b/>
        <vertAlign val="superscript"/>
        <sz val="10"/>
        <rFont val="Arial"/>
        <family val="2"/>
      </rPr>
      <t>a</t>
    </r>
  </si>
  <si>
    <r>
      <t xml:space="preserve">Number of approaches with right-turn lanes </t>
    </r>
    <r>
      <rPr>
        <b/>
        <vertAlign val="superscript"/>
        <sz val="10"/>
        <rFont val="Arial"/>
        <family val="2"/>
      </rPr>
      <t>a</t>
    </r>
  </si>
  <si>
    <r>
      <t xml:space="preserve">a </t>
    </r>
    <r>
      <rPr>
        <sz val="8"/>
        <rFont val="Arial"/>
        <family val="2"/>
      </rPr>
      <t>STOP-controlled approaches are not considered in determining the number of approaches with right-turn lanes.</t>
    </r>
  </si>
  <si>
    <t>Itype2</t>
  </si>
  <si>
    <t>Phasing</t>
  </si>
  <si>
    <t>Protected</t>
  </si>
  <si>
    <t>Protected / Permissive</t>
  </si>
  <si>
    <t>Permissive / Protected</t>
  </si>
  <si>
    <t>Data for signalized intersections only:</t>
  </si>
  <si>
    <t>Number of major-road approaches with left-turn lanes (0,1,2)</t>
  </si>
  <si>
    <t>Number of major-road approaches with right-turn lanes (0,1,2)</t>
  </si>
  <si>
    <t>UnsigApproach</t>
  </si>
  <si>
    <t>Phasing2</t>
  </si>
  <si>
    <t>Not Applicable</t>
  </si>
  <si>
    <t>Type of left-turn signal phasing for Leg #4 (if applicable)</t>
  </si>
  <si>
    <t>Type of left-turn signal phasing for Leg #3</t>
  </si>
  <si>
    <t>Type of left-turn signal phasing for Leg #1</t>
  </si>
  <si>
    <t>Type of left-turn signal phasing for Leg #2</t>
  </si>
  <si>
    <r>
      <t>Calculations for CMF</t>
    </r>
    <r>
      <rPr>
        <b/>
        <u/>
        <vertAlign val="subscript"/>
        <sz val="10"/>
        <rFont val="Arial"/>
        <family val="2"/>
      </rPr>
      <t>2i</t>
    </r>
  </si>
  <si>
    <t>Leg #1 CMF:</t>
  </si>
  <si>
    <t>Leg #2 CMF:</t>
  </si>
  <si>
    <t>Leg #3 CMF:</t>
  </si>
  <si>
    <t>Leg #4 CMF:</t>
  </si>
  <si>
    <t>Composite Value:</t>
  </si>
  <si>
    <t>Number of approaches with right-turn lanes (0,1,2,3,4) [for 3SG, use maximum value of 3]</t>
  </si>
  <si>
    <t>Number of approaches with left-turn signal phasing [for 3SG, use maximum value of 3]</t>
  </si>
  <si>
    <t>Number of approaches with left-turn lanes (0,1,2,3,4) [for 3SG, use maximum value of 3]</t>
  </si>
  <si>
    <t>Number of approaches with right-turn-on-red prohibited [for 3SG, use maximum value of 3]</t>
  </si>
  <si>
    <r>
      <t>Calculations for CMF</t>
    </r>
    <r>
      <rPr>
        <b/>
        <u/>
        <vertAlign val="subscript"/>
        <sz val="10"/>
        <rFont val="Arial"/>
        <family val="2"/>
      </rPr>
      <t>6i</t>
    </r>
  </si>
  <si>
    <r>
      <t>p</t>
    </r>
    <r>
      <rPr>
        <vertAlign val="subscript"/>
        <sz val="10"/>
        <rFont val="Arial"/>
        <family val="2"/>
      </rPr>
      <t xml:space="preserve">ramv(FI) </t>
    </r>
    <r>
      <rPr>
        <sz val="10"/>
        <rFont val="Arial"/>
        <family val="2"/>
      </rPr>
      <t>:</t>
    </r>
  </si>
  <si>
    <r>
      <t>p</t>
    </r>
    <r>
      <rPr>
        <vertAlign val="subscript"/>
        <sz val="10"/>
        <rFont val="Arial"/>
        <family val="2"/>
      </rPr>
      <t xml:space="preserve">ramv(PDO) </t>
    </r>
    <r>
      <rPr>
        <sz val="10"/>
        <rFont val="Arial"/>
        <family val="2"/>
      </rPr>
      <t>:</t>
    </r>
  </si>
  <si>
    <r>
      <t>N</t>
    </r>
    <r>
      <rPr>
        <vertAlign val="subscript"/>
        <sz val="10"/>
        <rFont val="Arial"/>
        <family val="2"/>
      </rPr>
      <t>bimv(FI)</t>
    </r>
    <r>
      <rPr>
        <sz val="10"/>
        <rFont val="Arial"/>
        <family val="2"/>
      </rPr>
      <t xml:space="preserve"> :</t>
    </r>
  </si>
  <si>
    <r>
      <t>N</t>
    </r>
    <r>
      <rPr>
        <vertAlign val="subscript"/>
        <sz val="10"/>
        <rFont val="Arial"/>
        <family val="2"/>
      </rPr>
      <t>bimv(PDO)</t>
    </r>
    <r>
      <rPr>
        <sz val="10"/>
        <rFont val="Arial"/>
        <family val="2"/>
      </rPr>
      <t xml:space="preserve"> :</t>
    </r>
  </si>
  <si>
    <r>
      <t>N</t>
    </r>
    <r>
      <rPr>
        <vertAlign val="subscript"/>
        <sz val="10"/>
        <rFont val="Arial"/>
        <family val="2"/>
      </rPr>
      <t>bisv</t>
    </r>
    <r>
      <rPr>
        <sz val="10"/>
        <rFont val="Arial"/>
        <family val="2"/>
      </rPr>
      <t xml:space="preserve"> :</t>
    </r>
  </si>
  <si>
    <r>
      <t>p</t>
    </r>
    <r>
      <rPr>
        <vertAlign val="subscript"/>
        <sz val="10"/>
        <rFont val="Arial"/>
        <family val="2"/>
      </rPr>
      <t>ra</t>
    </r>
    <r>
      <rPr>
        <sz val="10"/>
        <rFont val="Arial"/>
        <family val="2"/>
      </rPr>
      <t xml:space="preserve"> :</t>
    </r>
  </si>
  <si>
    <r>
      <t>p</t>
    </r>
    <r>
      <rPr>
        <vertAlign val="subscript"/>
        <sz val="10"/>
        <rFont val="Arial"/>
        <family val="2"/>
      </rPr>
      <t xml:space="preserve">remv(FI) </t>
    </r>
    <r>
      <rPr>
        <sz val="10"/>
        <rFont val="Arial"/>
        <family val="2"/>
      </rPr>
      <t>:</t>
    </r>
  </si>
  <si>
    <r>
      <t>p</t>
    </r>
    <r>
      <rPr>
        <vertAlign val="subscript"/>
        <sz val="10"/>
        <rFont val="Arial"/>
        <family val="2"/>
      </rPr>
      <t xml:space="preserve">remv(PDO) </t>
    </r>
    <r>
      <rPr>
        <sz val="10"/>
        <rFont val="Arial"/>
        <family val="2"/>
      </rPr>
      <t>:</t>
    </r>
  </si>
  <si>
    <r>
      <t>p</t>
    </r>
    <r>
      <rPr>
        <vertAlign val="subscript"/>
        <sz val="10"/>
        <rFont val="Arial"/>
        <family val="2"/>
      </rPr>
      <t>re</t>
    </r>
    <r>
      <rPr>
        <sz val="10"/>
        <rFont val="Arial"/>
        <family val="2"/>
      </rPr>
      <t xml:space="preserve"> :</t>
    </r>
  </si>
  <si>
    <r>
      <t>CMF</t>
    </r>
    <r>
      <rPr>
        <vertAlign val="subscript"/>
        <sz val="10"/>
        <rFont val="Arial"/>
        <family val="2"/>
      </rPr>
      <t>6i</t>
    </r>
    <r>
      <rPr>
        <sz val="10"/>
        <rFont val="Arial"/>
        <family val="2"/>
      </rPr>
      <t xml:space="preserve"> :</t>
    </r>
  </si>
  <si>
    <t>from Equation 12-21</t>
  </si>
  <si>
    <t>from Eqn. 12-24; (FI) from Eqn. 12-24 or 12-27</t>
  </si>
  <si>
    <t>from Equation 12-29</t>
  </si>
  <si>
    <t>Collision type / Site type</t>
  </si>
  <si>
    <t>Multiple-vehicle nondriveway</t>
  </si>
  <si>
    <t>Single-vehicle</t>
  </si>
  <si>
    <t>Multiple-vehicle driveway-related</t>
  </si>
  <si>
    <t>Worksheet 3A -- Predicted Crashes by Severity and Site Type and Observed Crashes Using the Site-Specific EB Method for Urban and Suburban Arterials</t>
  </si>
  <si>
    <t>Multiple-vehicle</t>
  </si>
  <si>
    <t>Worksheet 3B -- Predicted Pedestrian and Bicycle Crashes for Urban and Suburban Arterials</t>
  </si>
  <si>
    <t>Site Type</t>
  </si>
  <si>
    <r>
      <t>N</t>
    </r>
    <r>
      <rPr>
        <b/>
        <vertAlign val="subscript"/>
        <sz val="10"/>
        <rFont val="Arial"/>
        <family val="2"/>
      </rPr>
      <t>ped</t>
    </r>
  </si>
  <si>
    <r>
      <t>N</t>
    </r>
    <r>
      <rPr>
        <b/>
        <vertAlign val="subscript"/>
        <sz val="10"/>
        <rFont val="Arial"/>
        <family val="2"/>
      </rPr>
      <t>bike</t>
    </r>
  </si>
  <si>
    <r>
      <t>Predicted N</t>
    </r>
    <r>
      <rPr>
        <b/>
        <vertAlign val="subscript"/>
        <sz val="10"/>
        <rFont val="Arial"/>
        <family val="2"/>
      </rPr>
      <t>biker</t>
    </r>
  </si>
  <si>
    <t>Worksheet 3C -- Site-Specific EB Method Summary Results for Urban and Suburban Arterials</t>
  </si>
  <si>
    <r>
      <t xml:space="preserve">N </t>
    </r>
    <r>
      <rPr>
        <b/>
        <vertAlign val="subscript"/>
        <sz val="10"/>
        <rFont val="Arial"/>
        <family val="2"/>
      </rPr>
      <t>ped</t>
    </r>
  </si>
  <si>
    <r>
      <t>(2)</t>
    </r>
    <r>
      <rPr>
        <vertAlign val="subscript"/>
        <sz val="10"/>
        <rFont val="Arial"/>
        <family val="2"/>
      </rPr>
      <t>COMB</t>
    </r>
    <r>
      <rPr>
        <sz val="10"/>
        <rFont val="Arial"/>
        <family val="2"/>
      </rPr>
      <t xml:space="preserve"> from Worksheet 3B</t>
    </r>
  </si>
  <si>
    <r>
      <t>(3)</t>
    </r>
    <r>
      <rPr>
        <vertAlign val="subscript"/>
        <sz val="10"/>
        <rFont val="Arial"/>
        <family val="2"/>
      </rPr>
      <t>COMB</t>
    </r>
    <r>
      <rPr>
        <sz val="10"/>
        <rFont val="Arial"/>
        <family val="2"/>
      </rPr>
      <t xml:space="preserve"> from Worksheet 3B</t>
    </r>
  </si>
  <si>
    <r>
      <t xml:space="preserve">N </t>
    </r>
    <r>
      <rPr>
        <b/>
        <vertAlign val="subscript"/>
        <sz val="10"/>
        <rFont val="Arial"/>
        <family val="2"/>
      </rPr>
      <t>bike</t>
    </r>
  </si>
  <si>
    <r>
      <t xml:space="preserve">N </t>
    </r>
    <r>
      <rPr>
        <b/>
        <vertAlign val="subscript"/>
        <sz val="10"/>
        <rFont val="Arial"/>
        <family val="2"/>
      </rPr>
      <t>expected (VEHICLE)</t>
    </r>
  </si>
  <si>
    <r>
      <t>(5)</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</si>
  <si>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(5)</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</si>
  <si>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(3)+(4)+(5)</t>
  </si>
  <si>
    <r>
      <t>(8)</t>
    </r>
    <r>
      <rPr>
        <vertAlign val="subscript"/>
        <sz val="10"/>
        <rFont val="Arial"/>
        <family val="2"/>
      </rPr>
      <t>COMB</t>
    </r>
    <r>
      <rPr>
        <sz val="10"/>
        <rFont val="Arial"/>
        <family val="2"/>
      </rPr>
      <t xml:space="preserve"> Worksheet 3A</t>
    </r>
  </si>
  <si>
    <t>Worksheet 4A -- Predicted Crashes by Collision and Site Type and Observed Crashes Using the Project-Level EB Method for Urban and Suburban Arterials</t>
  </si>
  <si>
    <t>Predicted crashes</t>
  </si>
  <si>
    <r>
      <t xml:space="preserve">  N</t>
    </r>
    <r>
      <rPr>
        <vertAlign val="subscript"/>
        <sz val="10"/>
        <rFont val="Arial"/>
        <family val="2"/>
      </rPr>
      <t xml:space="preserve"> predicted</t>
    </r>
    <r>
      <rPr>
        <sz val="10"/>
        <rFont val="Arial"/>
        <family val="2"/>
      </rPr>
      <t xml:space="preserve">     (FI)</t>
    </r>
  </si>
  <si>
    <r>
      <t>N</t>
    </r>
    <r>
      <rPr>
        <b/>
        <vertAlign val="subscript"/>
        <sz val="10"/>
        <rFont val="Arial"/>
        <family val="2"/>
      </rPr>
      <t>predicted w0</t>
    </r>
  </si>
  <si>
    <r>
      <t>N</t>
    </r>
    <r>
      <rPr>
        <b/>
        <vertAlign val="subscript"/>
        <sz val="10"/>
        <rFont val="Arial"/>
        <family val="2"/>
      </rPr>
      <t>predicted w1</t>
    </r>
  </si>
  <si>
    <r>
      <t>N</t>
    </r>
    <r>
      <rPr>
        <b/>
        <vertAlign val="subscript"/>
        <sz val="10"/>
        <rFont val="Arial"/>
        <family val="2"/>
      </rPr>
      <t>expected/comb</t>
    </r>
  </si>
  <si>
    <t xml:space="preserve">  Equation     A-14</t>
  </si>
  <si>
    <t>Worksheet 4B -- Predicted Pedestrian and Bicycle Crashes for Urban and Suburban Arterials</t>
  </si>
  <si>
    <t>Worksheet 4C -- Project-Specific EB Method Summary Results for Urban and Suburban Arterials</t>
  </si>
  <si>
    <r>
      <t>(2)</t>
    </r>
    <r>
      <rPr>
        <vertAlign val="subscript"/>
        <sz val="10"/>
        <rFont val="Arial"/>
        <family val="2"/>
      </rPr>
      <t>COMB</t>
    </r>
    <r>
      <rPr>
        <sz val="10"/>
        <rFont val="Arial"/>
        <family val="2"/>
      </rPr>
      <t xml:space="preserve"> from Worksheet 4B</t>
    </r>
  </si>
  <si>
    <r>
      <t>(3)</t>
    </r>
    <r>
      <rPr>
        <vertAlign val="subscript"/>
        <sz val="10"/>
        <rFont val="Arial"/>
        <family val="2"/>
      </rPr>
      <t>COMB</t>
    </r>
    <r>
      <rPr>
        <sz val="10"/>
        <rFont val="Arial"/>
        <family val="2"/>
      </rPr>
      <t xml:space="preserve"> from Worksheet 4B</t>
    </r>
  </si>
  <si>
    <r>
      <t>(13)</t>
    </r>
    <r>
      <rPr>
        <vertAlign val="subscript"/>
        <sz val="10"/>
        <rFont val="Arial"/>
        <family val="2"/>
      </rPr>
      <t>COMB</t>
    </r>
    <r>
      <rPr>
        <sz val="10"/>
        <rFont val="Arial"/>
        <family val="2"/>
      </rPr>
      <t xml:space="preserve"> Worksheet 4A</t>
    </r>
  </si>
  <si>
    <t>Calculations for CMF for Roadside Fixed Objects</t>
  </si>
  <si>
    <t>Nighttime crash Proportion for CMF for Lighting</t>
  </si>
  <si>
    <t>Highway Safety Manual 1st Edition, Volume 2, Chapter 12-- Predictive Method for Urban and Suburban Arterials -- Analysis Spreadsheet Summary</t>
  </si>
  <si>
    <t>Table 12-3: SPF Coefficients for Multiple-Vehicle Nondriveway Collisions on Roadway Segments</t>
  </si>
  <si>
    <t>Note:  HSM-Provided values based on HSIS data for Washington (2002-2006)</t>
  </si>
  <si>
    <t>Table 12-4: Distribution of Multiple-Vehicle Nondriveway Collisions for Roadway Segments by Manner of Collision Type</t>
  </si>
  <si>
    <t>Table 12-5: SPF Coefficients for Single-Vehicle Collisions on Roadway Segments</t>
  </si>
  <si>
    <t>Table 12-6: Distribution of Single-Vehicle Collisions for Roadway Segments by Collision Type</t>
  </si>
  <si>
    <t>Table 12-7: SPF Coefficients for Multiple-Vehicle Driveway Related Collisions</t>
  </si>
  <si>
    <t>Table 12-8: Pedestrian Crash Adjustment Factor for Roadway Segments</t>
  </si>
  <si>
    <t>Table 12-9: Bicycle Crash Adjustment Factor for Roadway Segments</t>
  </si>
  <si>
    <t>Table 12-10: SPF Coefficients for Multiple-Vehicle Collisions at Intersections</t>
  </si>
  <si>
    <t>Note:  HSM-Provided values based on HSIS data for California (2002-2006)</t>
  </si>
  <si>
    <t>Table 12-11: Distribution of Multiple-Vehicle Collisions for Intersections by Collision Type</t>
  </si>
  <si>
    <t>Table 12-12: SPF Coefficients for Single-Vehicle Crashes at Intersections</t>
  </si>
  <si>
    <t>Source: HSM-Provided values base on HSIS data for California (2002-2006)</t>
  </si>
  <si>
    <t>Table 12-13: Distribution of Single-Vehicle Crashes for Intersections by Collision Type</t>
  </si>
  <si>
    <t>Table 12-14: SPF for Vehicle-Pedestrian Collisions at Signalized Intersections</t>
  </si>
  <si>
    <r>
      <t>Table 12-19: Values of f</t>
    </r>
    <r>
      <rPr>
        <b/>
        <vertAlign val="subscript"/>
        <sz val="10"/>
        <rFont val="Arial"/>
        <family val="2"/>
      </rPr>
      <t>pk</t>
    </r>
    <r>
      <rPr>
        <b/>
        <sz val="10"/>
        <rFont val="Arial"/>
        <family val="2"/>
      </rPr>
      <t xml:space="preserve"> Used in Determing the CMF for On-Street Parking</t>
    </r>
  </si>
  <si>
    <t>Table 12-20: Fixed-Object Offset Factor</t>
  </si>
  <si>
    <t>Table 12-21: Proportion of Fixed-Object Collisions</t>
  </si>
  <si>
    <r>
      <t>Table 12-22: CMFs for Median Widths on Divided Roadway Segments without a Median Barrier (CMF</t>
    </r>
    <r>
      <rPr>
        <b/>
        <vertAlign val="subscript"/>
        <sz val="10"/>
        <rFont val="Arial"/>
        <family val="2"/>
      </rPr>
      <t>3r</t>
    </r>
    <r>
      <rPr>
        <b/>
        <sz val="10"/>
        <rFont val="Arial"/>
        <family val="2"/>
      </rPr>
      <t>)</t>
    </r>
  </si>
  <si>
    <t>Table 12-23: Nighttime Crash Proportions for Unlighted Roadway Segments</t>
  </si>
  <si>
    <r>
      <t>Table 12-24: Crash Modification Factor (CMF</t>
    </r>
    <r>
      <rPr>
        <b/>
        <vertAlign val="subscript"/>
        <sz val="10"/>
        <rFont val="Arial"/>
        <family val="2"/>
      </rPr>
      <t>1i</t>
    </r>
    <r>
      <rPr>
        <b/>
        <sz val="10"/>
        <rFont val="Arial"/>
        <family val="2"/>
      </rPr>
      <t>) for Installation of Left-Turn Lanes on Intersection Approaches</t>
    </r>
  </si>
  <si>
    <r>
      <t>Table 12-26: Crash Modification Factor (CMF</t>
    </r>
    <r>
      <rPr>
        <b/>
        <vertAlign val="subscript"/>
        <sz val="10"/>
        <rFont val="Arial"/>
        <family val="2"/>
      </rPr>
      <t>3i</t>
    </r>
    <r>
      <rPr>
        <b/>
        <sz val="10"/>
        <rFont val="Arial"/>
        <family val="2"/>
      </rPr>
      <t>) for Installation of Right-Turn Lanes on Intersection Approaches</t>
    </r>
  </si>
  <si>
    <t>Table 12-27: Nighttime Crash Proportions for Unlighted Intersections</t>
  </si>
  <si>
    <t>from Table 12-22</t>
  </si>
  <si>
    <t>from Table 12-3</t>
  </si>
  <si>
    <t>from Table 12-4</t>
  </si>
  <si>
    <t>from Table 12-5</t>
  </si>
  <si>
    <t>from Table 12-6</t>
  </si>
  <si>
    <t>from Table 12-7</t>
  </si>
  <si>
    <t>from Table 12-8</t>
  </si>
  <si>
    <t>from Table 12-9</t>
  </si>
  <si>
    <t>Sum of all pedestrian crossing volumes  (PedVol) -- Signalized intersections only</t>
  </si>
  <si>
    <t>from Table 12-24</t>
  </si>
  <si>
    <t>from Table 12-25</t>
  </si>
  <si>
    <t>from Table 12-26</t>
  </si>
  <si>
    <t>from Table 12-10</t>
  </si>
  <si>
    <t>from Table 12-11</t>
  </si>
  <si>
    <t>from Table 12-12</t>
  </si>
  <si>
    <t>from Table 12-13</t>
  </si>
  <si>
    <t>from Table 12-16</t>
  </si>
  <si>
    <t>from Table 12-28</t>
  </si>
  <si>
    <t>from Table 12-29</t>
  </si>
  <si>
    <t>from Table 12-30</t>
  </si>
  <si>
    <t>from Table 12-14</t>
  </si>
  <si>
    <t>from Table 12-17</t>
  </si>
  <si>
    <r>
      <t xml:space="preserve">N </t>
    </r>
    <r>
      <rPr>
        <b/>
        <vertAlign val="subscript"/>
        <sz val="10"/>
        <rFont val="Arial"/>
        <family val="2"/>
      </rPr>
      <t>expected (vehicle)</t>
    </r>
  </si>
  <si>
    <t>Worksheet 2J -- Vehicle-Bicycle Collisions for Urban and Suburban Arterial Intersections</t>
  </si>
  <si>
    <t>(veh/day)</t>
  </si>
  <si>
    <r>
      <t>AADT</t>
    </r>
    <r>
      <rPr>
        <vertAlign val="subscript"/>
        <sz val="10"/>
        <rFont val="Arial"/>
        <family val="2"/>
      </rPr>
      <t>MAX</t>
    </r>
    <r>
      <rPr>
        <sz val="10"/>
        <rFont val="Arial"/>
        <family val="2"/>
      </rPr>
      <t xml:space="preserve"> =</t>
    </r>
  </si>
  <si>
    <r>
      <t>Predicted N</t>
    </r>
    <r>
      <rPr>
        <b/>
        <i/>
        <vertAlign val="subscript"/>
        <sz val="10"/>
        <rFont val="Arial"/>
        <family val="2"/>
      </rPr>
      <t>pedi</t>
    </r>
  </si>
  <si>
    <r>
      <t>Predicted N</t>
    </r>
    <r>
      <rPr>
        <b/>
        <vertAlign val="subscript"/>
        <sz val="10"/>
        <rFont val="Arial"/>
        <family val="2"/>
      </rPr>
      <t>bikei</t>
    </r>
  </si>
  <si>
    <t>Spreadsheet developed by:</t>
  </si>
  <si>
    <t>Karen Dixon, Ph.D., P.E.</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</si>
  <si>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</si>
  <si>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</si>
  <si>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</si>
  <si>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</si>
  <si>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</si>
  <si>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</si>
  <si>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</si>
  <si>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</si>
  <si>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</si>
  <si>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</si>
  <si>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</si>
  <si>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</si>
  <si>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Karen Dixon (k-dixon@tamu.edu)</t>
  </si>
  <si>
    <t>Updates per errata, other</t>
  </si>
  <si>
    <t>July, 2019</t>
  </si>
  <si>
    <t>Tariq Shihadah (tariq.shihadah@jacobs.com)</t>
  </si>
  <si>
    <t>Last modified:</t>
  </si>
  <si>
    <t>This spreadsheet has been developed to demonstrate the predictive models for urban and suburban arterials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</si>
  <si>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</si>
  <si>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</si>
  <si>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</si>
  <si>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</si>
  <si>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Current worksheet displaying overview, summary of spreadsheet worksheets, and description of color coding included in the worksheets.</t>
  </si>
  <si>
    <t>Analysis for the urban and suburban arterial segment analysis. The associated HSM worksheets are  Worksheets 1A, 1B, 1C, 1D, 1E, 1F, 1G, 1H, 1I, 1J, 1K, and 1L.</t>
  </si>
  <si>
    <t>Tables used for the segment analysis.  Includes Tables 12-3, 12-4, 12-5, 12-6, 12-7, 12-8, 12-9, 12-19, 12-20, 12-21, and 12-23.</t>
  </si>
  <si>
    <t>Analysis for the urban and suburban arterial intersection analysis. The associated worksheets are Worksheets 2A, 2B, 2C, 2D, 2E, 2F, 2G, 2H, 2I, 2J, 2K, and 2L. Worksheets specific to STOP control or traffic signals may be blank if they do not apply to the specific intersection type selected for analysis.</t>
  </si>
  <si>
    <t>Tables used for the intersection analysis.  Includes Tables 12-10, 12-11, 12-12, 12-13, 12-14, 12-24, 12-26, and 12-27.</t>
  </si>
  <si>
    <t>Analysis for site-specific EB analysis using results from the urban segment and intersection worksheets.  This analysis can be performed if the analyst knows the exact location of historic crashes within the study limits. The associated HSM worksheets are Worksheets 3A, 3B, and 3C.</t>
  </si>
  <si>
    <t>Analysis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4B, and 4C.</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</si>
  <si>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</si>
  <si>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(enter name)</t>
  </si>
  <si>
    <t>(enter agency)</t>
  </si>
  <si>
    <t>(enter date)</t>
  </si>
  <si>
    <t>(enter roadway name)</t>
  </si>
  <si>
    <t>(enter roadway section)</t>
  </si>
  <si>
    <t>(enter jurisdiction)</t>
  </si>
  <si>
    <t>(enter intersection name)</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</si>
  <si>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</si>
  <si>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</si>
  <si>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</si>
  <si>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</si>
  <si>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</si>
  <si>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</si>
  <si>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</si>
  <si>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</si>
  <si>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</si>
  <si>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</si>
  <si>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</si>
  <si>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</si>
  <si>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</si>
  <si>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</si>
  <si>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</si>
  <si>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</si>
  <si>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Segment_1-8</t>
  </si>
  <si>
    <t>Intersection_1-8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</si>
  <si>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</si>
  <si>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Summary Tables (Site Totals)</t>
  </si>
  <si>
    <t>Summary Tables (Project Total)</t>
  </si>
  <si>
    <t>Reference Tables (Segment)</t>
  </si>
  <si>
    <t>Reference Tables (Intersection)</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</si>
  <si>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</si>
  <si>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</si>
  <si>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</si>
  <si>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July, 2019 by Tariq Shihadah, Brianna Lawton (Jacobs)</t>
  </si>
  <si>
    <t>For questions:</t>
  </si>
  <si>
    <t>info@highwaysafetymanual.org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</si>
</sst>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3"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sz val="10"/>
      <name val="Calibri"/>
      <family val="2"/>
    </font>
    <font>
      <i/>
      <vertAlign val="subscript"/>
      <sz val="10"/>
      <name val="Arial"/>
      <family val="2"/>
    </font>
    <font>
      <u/>
      <sz val="10"/>
      <name val="Arial"/>
      <family val="2"/>
    </font>
    <font>
      <b/>
      <u/>
      <vertAlign val="subscript"/>
      <sz val="10"/>
      <name val="Arial"/>
      <family val="2"/>
    </font>
    <font>
      <u/>
      <sz val="10"/>
      <color theme="10"/>
      <name val="Arial"/>
      <family val="2"/>
    </font>
  </fonts>
  <fills count="10">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2">
    <xf numFmtId="0" fontId="0" fillId="0" borderId="0"/>
    <xf numFmtId="0" fontId="22" fillId="0" borderId="0" applyNumberFormat="0" applyFill="0" applyBorder="0" applyAlignment="0" applyProtection="0"/>
  </cellStyleXfs>
  <cellXfs count="943">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3" fillId="0" borderId="0" xfId="0" applyFont="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0" fontId="0" fillId="0" borderId="0" xfId="0" applyFill="1" applyBorder="1"/>
    <xf numFmtId="166" fontId="0" fillId="0" borderId="0" xfId="0" applyNumberFormat="1" applyFill="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Fill="1" applyBorder="1" applyAlignment="1">
      <alignment horizontal="center"/>
    </xf>
    <xf numFmtId="0" fontId="0" fillId="0" borderId="0" xfId="0" applyBorder="1" applyAlignment="1"/>
    <xf numFmtId="0" fontId="0" fillId="0" borderId="5" xfId="0" applyBorder="1" applyAlignment="1"/>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xf>
    <xf numFmtId="0" fontId="0" fillId="0" borderId="6" xfId="0" applyBorder="1" applyAlignment="1"/>
    <xf numFmtId="0" fontId="3" fillId="0" borderId="2" xfId="0" applyFont="1" applyBorder="1" applyAlignment="1">
      <alignment horizontal="center"/>
    </xf>
    <xf numFmtId="0" fontId="0" fillId="0" borderId="0" xfId="0" applyBorder="1"/>
    <xf numFmtId="0" fontId="0" fillId="0" borderId="7"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horizontal="center"/>
    </xf>
    <xf numFmtId="0" fontId="0" fillId="0" borderId="0" xfId="0" quotePrefix="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164" fontId="0" fillId="0" borderId="4"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3" xfId="0" applyNumberFormat="1" applyFill="1" applyBorder="1" applyAlignment="1">
      <alignment horizontal="center"/>
    </xf>
    <xf numFmtId="2" fontId="1" fillId="0" borderId="0" xfId="0" applyNumberFormat="1" applyFont="1" applyFill="1" applyBorder="1" applyAlignment="1">
      <alignment horizontal="left"/>
    </xf>
    <xf numFmtId="164" fontId="0" fillId="0" borderId="4" xfId="0" applyNumberFormat="1" applyFill="1" applyBorder="1" applyAlignment="1">
      <alignment horizontal="center"/>
    </xf>
    <xf numFmtId="0" fontId="3" fillId="0" borderId="0" xfId="0" applyFont="1" applyBorder="1" applyAlignment="1">
      <alignment horizontal="center" vertical="top"/>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0" fillId="0" borderId="3"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alignment vertical="center"/>
    </xf>
    <xf numFmtId="0" fontId="2" fillId="0" borderId="0" xfId="0" applyFont="1" applyFill="1" applyBorder="1" applyAlignment="1"/>
    <xf numFmtId="1" fontId="1" fillId="0" borderId="0" xfId="0" applyNumberFormat="1" applyFont="1"/>
    <xf numFmtId="2" fontId="0" fillId="0" borderId="0" xfId="0" applyNumberFormat="1" applyFill="1" applyBorder="1" applyAlignment="1">
      <alignment horizontal="center" vertical="top"/>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8" xfId="0" quotePrefix="1" applyFon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0" fontId="17" fillId="0" borderId="0" xfId="0" applyFont="1"/>
    <xf numFmtId="0" fontId="3" fillId="0" borderId="12" xfId="0" applyFont="1" applyBorder="1"/>
    <xf numFmtId="0" fontId="3" fillId="0" borderId="13" xfId="0" applyFont="1" applyFill="1" applyBorder="1" applyAlignment="1">
      <alignment horizontal="center"/>
    </xf>
    <xf numFmtId="0" fontId="0" fillId="0" borderId="14" xfId="0" applyBorder="1" applyAlignment="1"/>
    <xf numFmtId="0" fontId="0" fillId="0" borderId="2" xfId="0" applyBorder="1" applyAlignment="1">
      <alignment horizontal="center"/>
    </xf>
    <xf numFmtId="0" fontId="3" fillId="0" borderId="2" xfId="0" applyFont="1" applyFill="1" applyBorder="1" applyAlignment="1">
      <alignment horizontal="center" wrapText="1"/>
    </xf>
    <xf numFmtId="0" fontId="0" fillId="0" borderId="4" xfId="0" applyBorder="1" applyAlignment="1">
      <alignment horizontal="center"/>
    </xf>
    <xf numFmtId="0" fontId="1" fillId="0" borderId="1" xfId="0" quotePrefix="1" applyFont="1" applyBorder="1" applyAlignment="1">
      <alignment horizontal="center"/>
    </xf>
    <xf numFmtId="2" fontId="0" fillId="0" borderId="15" xfId="0" applyNumberFormat="1" applyFill="1" applyBorder="1" applyAlignment="1">
      <alignment horizontal="center"/>
    </xf>
    <xf numFmtId="0" fontId="1" fillId="0" borderId="2" xfId="0" applyFont="1" applyBorder="1" applyAlignment="1">
      <alignment horizontal="center"/>
    </xf>
    <xf numFmtId="164" fontId="0" fillId="0" borderId="15" xfId="0" applyNumberFormat="1" applyFill="1" applyBorder="1" applyAlignment="1">
      <alignment horizontal="center"/>
    </xf>
    <xf numFmtId="2" fontId="1" fillId="0" borderId="16" xfId="0" applyNumberFormat="1" applyFont="1" applyFill="1" applyBorder="1" applyAlignment="1">
      <alignment horizontal="left"/>
    </xf>
    <xf numFmtId="164" fontId="0" fillId="0" borderId="2" xfId="0" applyNumberFormat="1" applyFill="1" applyBorder="1" applyAlignment="1">
      <alignment horizontal="center" wrapText="1"/>
    </xf>
    <xf numFmtId="164" fontId="0" fillId="0" borderId="3" xfId="0" applyNumberFormat="1" applyFill="1" applyBorder="1" applyAlignment="1">
      <alignment horizontal="center" wrapText="1"/>
    </xf>
    <xf numFmtId="0" fontId="1" fillId="0" borderId="17" xfId="0" applyFont="1" applyFill="1" applyBorder="1" applyAlignment="1">
      <alignment horizontal="center"/>
    </xf>
    <xf numFmtId="0" fontId="3" fillId="0" borderId="2" xfId="0" applyFont="1" applyBorder="1" applyAlignment="1">
      <alignment horizontal="center" wrapText="1"/>
    </xf>
    <xf numFmtId="0" fontId="0" fillId="0" borderId="18" xfId="0" applyBorder="1"/>
    <xf numFmtId="0" fontId="1" fillId="0" borderId="0" xfId="0" applyFont="1" applyFill="1" applyBorder="1" applyAlignment="1">
      <alignment vertical="center"/>
    </xf>
    <xf numFmtId="0" fontId="1" fillId="0" borderId="16" xfId="0" applyFont="1" applyFill="1" applyBorder="1" applyAlignment="1">
      <alignment horizontal="center"/>
    </xf>
    <xf numFmtId="0" fontId="3" fillId="0" borderId="0" xfId="0" applyFont="1" applyBorder="1" applyAlignment="1">
      <alignment horizontal="center"/>
    </xf>
    <xf numFmtId="2" fontId="0" fillId="0" borderId="0" xfId="0" applyNumberFormat="1" applyBorder="1" applyAlignment="1">
      <alignment horizontal="center"/>
    </xf>
    <xf numFmtId="0" fontId="0" fillId="0" borderId="0" xfId="0" applyBorder="1" applyAlignment="1">
      <alignment vertical="center"/>
    </xf>
    <xf numFmtId="0" fontId="0" fillId="0" borderId="0" xfId="0" applyFill="1" applyBorder="1" applyAlignment="1">
      <alignment wrapText="1"/>
    </xf>
    <xf numFmtId="0" fontId="0" fillId="0" borderId="0" xfId="0" applyBorder="1" applyAlignment="1">
      <alignment vertical="top"/>
    </xf>
    <xf numFmtId="1" fontId="0" fillId="0" borderId="0" xfId="0" applyNumberFormat="1" applyAlignment="1">
      <alignment horizontal="center"/>
    </xf>
    <xf numFmtId="2" fontId="0" fillId="0" borderId="0" xfId="0" applyNumberFormat="1" applyAlignment="1">
      <alignment horizontal="center"/>
    </xf>
    <xf numFmtId="2" fontId="0" fillId="0" borderId="8" xfId="0" applyNumberFormat="1" applyBorder="1" applyAlignment="1">
      <alignment horizontal="center"/>
    </xf>
    <xf numFmtId="166" fontId="3" fillId="0" borderId="2" xfId="0" applyNumberFormat="1" applyFont="1" applyFill="1" applyBorder="1" applyAlignment="1">
      <alignment horizontal="center"/>
    </xf>
    <xf numFmtId="0" fontId="1" fillId="0" borderId="0" xfId="0" applyFont="1" applyAlignment="1">
      <alignment horizontal="right"/>
    </xf>
    <xf numFmtId="164" fontId="0" fillId="0" borderId="19" xfId="0" applyNumberFormat="1" applyFill="1" applyBorder="1" applyAlignment="1">
      <alignment horizontal="center"/>
    </xf>
    <xf numFmtId="164" fontId="0" fillId="0" borderId="13" xfId="0" applyNumberFormat="1" applyFill="1" applyBorder="1" applyAlignment="1">
      <alignment horizontal="center"/>
    </xf>
    <xf numFmtId="0" fontId="0" fillId="0" borderId="0" xfId="0" applyBorder="1" applyAlignment="1">
      <alignment horizontal="center" vertical="center"/>
    </xf>
    <xf numFmtId="0" fontId="1" fillId="0" borderId="0" xfId="0" quotePrefix="1" applyFont="1" applyBorder="1" applyAlignment="1">
      <alignment horizontal="center"/>
    </xf>
    <xf numFmtId="0" fontId="3" fillId="0" borderId="0"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top" wrapText="1"/>
    </xf>
    <xf numFmtId="0" fontId="0" fillId="0" borderId="0" xfId="0" quotePrefix="1" applyBorder="1" applyAlignment="1">
      <alignment horizontal="center" vertical="center" wrapText="1"/>
    </xf>
    <xf numFmtId="164" fontId="0" fillId="0" borderId="0" xfId="0" applyNumberFormat="1" applyBorder="1" applyAlignment="1">
      <alignment horizontal="center"/>
    </xf>
    <xf numFmtId="166" fontId="0" fillId="0" borderId="0" xfId="0" applyNumberFormat="1" applyBorder="1" applyAlignment="1">
      <alignment horizontal="center"/>
    </xf>
    <xf numFmtId="0" fontId="0" fillId="0" borderId="0" xfId="0" applyFill="1"/>
    <xf numFmtId="0" fontId="0" fillId="0" borderId="0" xfId="0" applyFill="1" applyAlignment="1"/>
    <xf numFmtId="3" fontId="0" fillId="0" borderId="0" xfId="0" applyNumberFormat="1" applyFill="1" applyBorder="1" applyAlignment="1"/>
    <xf numFmtId="0" fontId="3"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quotePrefix="1" applyFill="1" applyBorder="1" applyAlignment="1">
      <alignment horizontal="center" vertical="center" wrapText="1"/>
    </xf>
    <xf numFmtId="0" fontId="3" fillId="0" borderId="0" xfId="0" applyFont="1" applyFill="1" applyBorder="1" applyAlignment="1">
      <alignment horizontal="centerContinuous"/>
    </xf>
    <xf numFmtId="0" fontId="3" fillId="0" borderId="2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3" fontId="1" fillId="0" borderId="17" xfId="0" applyNumberFormat="1" applyFont="1" applyFill="1" applyBorder="1" applyAlignment="1">
      <alignment horizontal="center"/>
    </xf>
    <xf numFmtId="0" fontId="0" fillId="0" borderId="2" xfId="0" applyFill="1" applyBorder="1"/>
    <xf numFmtId="0" fontId="0" fillId="0" borderId="3" xfId="0" applyFill="1" applyBorder="1"/>
    <xf numFmtId="2" fontId="0" fillId="0" borderId="0" xfId="0" applyNumberFormat="1" applyBorder="1" applyAlignment="1">
      <alignment horizontal="center" vertical="center"/>
    </xf>
    <xf numFmtId="0" fontId="3" fillId="0" borderId="3" xfId="0" applyFont="1" applyFill="1" applyBorder="1" applyAlignment="1">
      <alignment horizontal="center" wrapText="1"/>
    </xf>
    <xf numFmtId="0" fontId="2" fillId="0" borderId="7" xfId="0" applyFont="1" applyBorder="1"/>
    <xf numFmtId="0" fontId="0" fillId="0" borderId="19" xfId="0" applyBorder="1"/>
    <xf numFmtId="0" fontId="3" fillId="0" borderId="2" xfId="0" applyFont="1" applyFill="1" applyBorder="1" applyAlignment="1">
      <alignment horizontal="center" vertical="top" wrapText="1"/>
    </xf>
    <xf numFmtId="0" fontId="0" fillId="0" borderId="0" xfId="0" applyBorder="1" applyAlignment="1">
      <alignment vertical="top" wrapText="1"/>
    </xf>
    <xf numFmtId="0" fontId="3" fillId="0" borderId="3" xfId="0" applyFont="1" applyFill="1" applyBorder="1" applyAlignment="1">
      <alignment horizontal="center" vertical="top" wrapText="1"/>
    </xf>
    <xf numFmtId="0" fontId="1" fillId="0" borderId="4" xfId="0" quotePrefix="1" applyFont="1" applyBorder="1" applyAlignment="1">
      <alignment horizontal="center"/>
    </xf>
    <xf numFmtId="164" fontId="0" fillId="0" borderId="0" xfId="0" applyNumberFormat="1" applyFill="1" applyBorder="1" applyAlignment="1">
      <alignment horizontal="center" wrapText="1"/>
    </xf>
    <xf numFmtId="164" fontId="1" fillId="0" borderId="0" xfId="0" applyNumberFormat="1" applyFont="1" applyFill="1" applyBorder="1" applyAlignment="1">
      <alignment horizontal="center" wrapText="1"/>
    </xf>
    <xf numFmtId="0" fontId="0" fillId="0" borderId="2" xfId="0" applyBorder="1" applyAlignment="1">
      <alignment vertical="center" wrapText="1"/>
    </xf>
    <xf numFmtId="0" fontId="0" fillId="0" borderId="2" xfId="0" applyBorder="1" applyAlignment="1">
      <alignment horizontal="center" wrapText="1"/>
    </xf>
    <xf numFmtId="0" fontId="0" fillId="0" borderId="2" xfId="0" applyBorder="1" applyAlignment="1">
      <alignment wrapText="1"/>
    </xf>
    <xf numFmtId="0" fontId="0" fillId="0" borderId="3" xfId="0" applyBorder="1" applyAlignment="1">
      <alignment horizontal="center" vertical="top" wrapText="1"/>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0" fontId="0" fillId="0" borderId="0" xfId="0" applyFill="1" applyBorder="1" applyAlignment="1">
      <alignment horizontal="center" vertical="top" wrapText="1"/>
    </xf>
    <xf numFmtId="2" fontId="0" fillId="0" borderId="15" xfId="0" applyNumberFormat="1" applyBorder="1" applyAlignment="1">
      <alignment horizontal="center"/>
    </xf>
    <xf numFmtId="2" fontId="0" fillId="0" borderId="4" xfId="0" applyNumberFormat="1" applyBorder="1" applyAlignment="1">
      <alignment horizontal="center"/>
    </xf>
    <xf numFmtId="0" fontId="0" fillId="0" borderId="17" xfId="0" applyBorder="1" applyAlignment="1">
      <alignment horizontal="center" vertical="top" wrapText="1"/>
    </xf>
    <xf numFmtId="164" fontId="1" fillId="0" borderId="4" xfId="0" quotePrefix="1" applyNumberFormat="1" applyFont="1" applyBorder="1" applyAlignment="1">
      <alignment horizontal="center"/>
    </xf>
    <xf numFmtId="0" fontId="1" fillId="0" borderId="17" xfId="0" applyFont="1" applyFill="1" applyBorder="1" applyAlignment="1">
      <alignment horizontal="left"/>
    </xf>
    <xf numFmtId="164" fontId="1" fillId="0" borderId="2" xfId="0" applyNumberFormat="1" applyFont="1" applyBorder="1" applyAlignment="1">
      <alignment horizontal="center"/>
    </xf>
    <xf numFmtId="2" fontId="1" fillId="0" borderId="2" xfId="0" quotePrefix="1" applyNumberFormat="1" applyFont="1" applyFill="1" applyBorder="1" applyAlignment="1">
      <alignment horizontal="center"/>
    </xf>
    <xf numFmtId="2" fontId="1" fillId="0" borderId="3" xfId="0" quotePrefix="1" applyNumberFormat="1" applyFont="1" applyFill="1" applyBorder="1" applyAlignment="1">
      <alignment horizontal="center"/>
    </xf>
    <xf numFmtId="0" fontId="2" fillId="0" borderId="5" xfId="0" applyFont="1" applyFill="1" applyBorder="1" applyAlignment="1">
      <alignment horizontal="left"/>
    </xf>
    <xf numFmtId="2" fontId="1" fillId="0" borderId="2" xfId="0" quotePrefix="1" applyNumberFormat="1" applyFont="1" applyBorder="1" applyAlignment="1">
      <alignment horizontal="center"/>
    </xf>
    <xf numFmtId="2" fontId="1" fillId="0" borderId="3" xfId="0" quotePrefix="1" applyNumberFormat="1" applyFont="1" applyBorder="1" applyAlignment="1">
      <alignment horizontal="center"/>
    </xf>
    <xf numFmtId="0" fontId="1" fillId="0" borderId="3" xfId="0" quotePrefix="1" applyFont="1" applyFill="1" applyBorder="1" applyAlignment="1">
      <alignment horizontal="center"/>
    </xf>
    <xf numFmtId="0" fontId="1" fillId="0" borderId="17" xfId="0" applyFont="1" applyFill="1" applyBorder="1" applyAlignment="1">
      <alignment horizontal="left" vertical="center"/>
    </xf>
    <xf numFmtId="0" fontId="1" fillId="0" borderId="16" xfId="0" applyFont="1" applyBorder="1" applyAlignment="1">
      <alignment horizontal="left" vertical="center"/>
    </xf>
    <xf numFmtId="164" fontId="0" fillId="0" borderId="0" xfId="0" applyNumberFormat="1" applyAlignment="1">
      <alignment horizontal="center"/>
    </xf>
    <xf numFmtId="2" fontId="1" fillId="0" borderId="4" xfId="0" quotePrefix="1" applyNumberFormat="1" applyFont="1" applyBorder="1" applyAlignment="1">
      <alignment horizontal="center"/>
    </xf>
    <xf numFmtId="0" fontId="3" fillId="0" borderId="4" xfId="0" applyFont="1" applyFill="1" applyBorder="1" applyAlignment="1">
      <alignment horizontal="center"/>
    </xf>
    <xf numFmtId="164" fontId="0" fillId="0" borderId="2" xfId="0" quotePrefix="1" applyNumberFormat="1" applyFill="1" applyBorder="1" applyAlignment="1">
      <alignment horizontal="center"/>
    </xf>
    <xf numFmtId="164" fontId="0" fillId="0" borderId="21" xfId="0" quotePrefix="1" applyNumberFormat="1" applyFill="1" applyBorder="1" applyAlignment="1">
      <alignment horizontal="center"/>
    </xf>
    <xf numFmtId="164" fontId="0" fillId="0" borderId="3" xfId="0" quotePrefix="1" applyNumberFormat="1" applyFill="1" applyBorder="1" applyAlignment="1">
      <alignment horizontal="center"/>
    </xf>
    <xf numFmtId="164" fontId="0" fillId="0" borderId="9" xfId="0" quotePrefix="1" applyNumberFormat="1" applyFill="1" applyBorder="1" applyAlignment="1">
      <alignment horizontal="center"/>
    </xf>
    <xf numFmtId="164" fontId="0" fillId="0" borderId="10" xfId="0" quotePrefix="1" applyNumberFormat="1" applyFill="1" applyBorder="1" applyAlignment="1">
      <alignment horizontal="center"/>
    </xf>
    <xf numFmtId="0" fontId="1" fillId="0" borderId="0" xfId="0" applyFont="1" applyFill="1" applyBorder="1" applyAlignment="1">
      <alignment horizontal="left" vertical="center"/>
    </xf>
    <xf numFmtId="164" fontId="0" fillId="0" borderId="0" xfId="0" quotePrefix="1" applyNumberFormat="1" applyFill="1" applyBorder="1" applyAlignment="1">
      <alignment horizontal="center"/>
    </xf>
    <xf numFmtId="0" fontId="0" fillId="2" borderId="11" xfId="0" applyFill="1" applyBorder="1"/>
    <xf numFmtId="0" fontId="0" fillId="2" borderId="19" xfId="0" applyFill="1" applyBorder="1"/>
    <xf numFmtId="0" fontId="0" fillId="3" borderId="11" xfId="0" applyFill="1" applyBorder="1"/>
    <xf numFmtId="0" fontId="0" fillId="3" borderId="19" xfId="0" applyFill="1" applyBorder="1"/>
    <xf numFmtId="0" fontId="0" fillId="4" borderId="11" xfId="0" applyFill="1" applyBorder="1"/>
    <xf numFmtId="0" fontId="0" fillId="4" borderId="19" xfId="0" applyFill="1" applyBorder="1"/>
    <xf numFmtId="164" fontId="1" fillId="4" borderId="2" xfId="0" applyNumberFormat="1" applyFont="1" applyFill="1" applyBorder="1" applyAlignment="1">
      <alignment horizontal="center" wrapText="1"/>
    </xf>
    <xf numFmtId="164" fontId="1" fillId="4" borderId="3" xfId="0" applyNumberFormat="1" applyFont="1" applyFill="1" applyBorder="1" applyAlignment="1">
      <alignment horizontal="center" wrapText="1"/>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4" borderId="15" xfId="0" applyNumberFormat="1" applyFont="1" applyFill="1" applyBorder="1" applyAlignment="1">
      <alignment horizontal="center"/>
    </xf>
    <xf numFmtId="0" fontId="0" fillId="3" borderId="2" xfId="0" applyFill="1" applyBorder="1" applyAlignment="1">
      <alignment horizontal="center"/>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0" fontId="2" fillId="0" borderId="0" xfId="0" applyFont="1" applyBorder="1"/>
    <xf numFmtId="0" fontId="2" fillId="0" borderId="0" xfId="0" applyFont="1"/>
    <xf numFmtId="0" fontId="1" fillId="5" borderId="23" xfId="0" applyFont="1" applyFill="1" applyBorder="1" applyAlignment="1">
      <alignment horizontal="right"/>
    </xf>
    <xf numFmtId="0" fontId="1" fillId="5" borderId="24" xfId="0" applyFont="1" applyFill="1" applyBorder="1" applyAlignment="1">
      <alignment horizontal="left"/>
    </xf>
    <xf numFmtId="3" fontId="0" fillId="5" borderId="25" xfId="0" applyNumberFormat="1" applyFill="1" applyBorder="1" applyAlignment="1">
      <alignment horizontal="center"/>
    </xf>
    <xf numFmtId="0" fontId="20" fillId="0" borderId="0" xfId="0" applyFont="1"/>
    <xf numFmtId="166" fontId="0" fillId="0" borderId="26" xfId="0" applyNumberFormat="1" applyFill="1" applyBorder="1" applyAlignment="1">
      <alignment horizontal="center"/>
    </xf>
    <xf numFmtId="166" fontId="1" fillId="0" borderId="28" xfId="0" quotePrefix="1" applyNumberFormat="1" applyFont="1" applyFill="1" applyBorder="1" applyAlignment="1">
      <alignment horizontal="center" vertical="center"/>
    </xf>
    <xf numFmtId="0" fontId="1" fillId="8" borderId="8" xfId="0" quotePrefix="1" applyFont="1" applyFill="1" applyBorder="1" applyAlignment="1">
      <alignment horizontal="center"/>
    </xf>
    <xf numFmtId="164" fontId="0" fillId="8" borderId="3" xfId="0" applyNumberFormat="1" applyFill="1" applyBorder="1" applyAlignment="1">
      <alignment horizontal="center"/>
    </xf>
    <xf numFmtId="0" fontId="1" fillId="9" borderId="8" xfId="0" quotePrefix="1" applyFont="1"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horizontal="center" vertical="center" wrapText="1"/>
    </xf>
    <xf numFmtId="0" fontId="0" fillId="7" borderId="1" xfId="0" quotePrefix="1" applyFill="1" applyBorder="1" applyAlignment="1">
      <alignment horizontal="center"/>
    </xf>
    <xf numFmtId="164" fontId="0" fillId="7" borderId="2" xfId="0" applyNumberFormat="1" applyFill="1" applyBorder="1" applyAlignment="1">
      <alignment horizontal="center"/>
    </xf>
    <xf numFmtId="0" fontId="1" fillId="7" borderId="8" xfId="0" quotePrefix="1" applyFont="1" applyFill="1" applyBorder="1" applyAlignment="1">
      <alignment horizontal="center"/>
    </xf>
    <xf numFmtId="164" fontId="0" fillId="7" borderId="3" xfId="0" applyNumberFormat="1" applyFill="1" applyBorder="1" applyAlignment="1">
      <alignment horizontal="center"/>
    </xf>
    <xf numFmtId="164" fontId="1" fillId="7" borderId="15" xfId="0" applyNumberFormat="1" applyFont="1" applyFill="1" applyBorder="1" applyAlignment="1">
      <alignment horizontal="center"/>
    </xf>
    <xf numFmtId="164" fontId="0" fillId="0" borderId="4" xfId="0" applyNumberForma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xf numFmtId="2" fontId="0" fillId="0" borderId="0" xfId="0" applyNumberFormat="1" applyFill="1" applyBorder="1" applyAlignment="1">
      <alignment horizontal="center"/>
    </xf>
    <xf numFmtId="0" fontId="1" fillId="0" borderId="3" xfId="0" quotePrefix="1" applyFont="1" applyFill="1" applyBorder="1" applyAlignment="1">
      <alignment horizontal="center"/>
    </xf>
    <xf numFmtId="0" fontId="1" fillId="0" borderId="0" xfId="0" quotePrefix="1" applyFont="1" applyFill="1" applyBorder="1" applyAlignment="1">
      <alignment horizontal="center"/>
    </xf>
    <xf numFmtId="164" fontId="0" fillId="0" borderId="26" xfId="0" applyNumberFormat="1" applyFill="1" applyBorder="1" applyAlignment="1">
      <alignment horizontal="center"/>
    </xf>
    <xf numFmtId="164" fontId="0" fillId="0" borderId="28" xfId="0" applyNumberFormat="1" applyFill="1" applyBorder="1" applyAlignment="1">
      <alignment horizontal="center" vertical="center"/>
    </xf>
    <xf numFmtId="164" fontId="0" fillId="0" borderId="29" xfId="0" applyNumberFormat="1" applyFill="1" applyBorder="1" applyAlignment="1">
      <alignment horizontal="center" vertical="center"/>
    </xf>
    <xf numFmtId="164" fontId="0" fillId="0" borderId="22" xfId="0" applyNumberFormat="1" applyFill="1" applyBorder="1" applyAlignment="1">
      <alignment horizontal="center"/>
    </xf>
    <xf numFmtId="164" fontId="0" fillId="2" borderId="2" xfId="0" quotePrefix="1" applyNumberFormat="1" applyFill="1" applyBorder="1" applyAlignment="1">
      <alignment horizontal="center"/>
    </xf>
    <xf numFmtId="164" fontId="0" fillId="2" borderId="2" xfId="0" applyNumberFormat="1" applyFill="1" applyBorder="1" applyAlignment="1">
      <alignment horizontal="center"/>
    </xf>
    <xf numFmtId="164" fontId="6" fillId="2" borderId="2" xfId="0" applyNumberFormat="1" applyFont="1" applyFill="1" applyBorder="1" applyAlignment="1">
      <alignment horizontal="center"/>
    </xf>
    <xf numFmtId="164" fontId="1" fillId="2" borderId="2" xfId="0" applyNumberFormat="1" applyFont="1" applyFill="1" applyBorder="1" applyAlignment="1">
      <alignment horizontal="center"/>
    </xf>
    <xf numFmtId="164" fontId="0" fillId="2" borderId="11" xfId="0" applyNumberFormat="1" applyFill="1" applyBorder="1" applyAlignment="1">
      <alignment horizontal="center"/>
    </xf>
    <xf numFmtId="164" fontId="0" fillId="2" borderId="11" xfId="0" quotePrefix="1" applyNumberFormat="1" applyFill="1" applyBorder="1" applyAlignment="1">
      <alignment horizontal="center"/>
    </xf>
    <xf numFmtId="0" fontId="1" fillId="0" borderId="4" xfId="0" quotePrefix="1" applyFont="1" applyFill="1" applyBorder="1" applyAlignment="1">
      <alignment horizontal="center"/>
    </xf>
    <xf numFmtId="167" fontId="0" fillId="0" borderId="4" xfId="0" applyNumberFormat="1" applyFill="1" applyBorder="1" applyAlignment="1">
      <alignment horizontal="center"/>
    </xf>
    <xf numFmtId="0" fontId="1" fillId="0" borderId="15" xfId="0" quotePrefix="1" applyFont="1" applyFill="1" applyBorder="1" applyAlignment="1">
      <alignment horizontal="center"/>
    </xf>
    <xf numFmtId="0" fontId="1" fillId="0" borderId="26" xfId="0" quotePrefix="1" applyFont="1" applyFill="1" applyBorder="1" applyAlignment="1">
      <alignment horizontal="center"/>
    </xf>
    <xf numFmtId="167" fontId="0" fillId="0" borderId="26" xfId="0" applyNumberFormat="1" applyFill="1" applyBorder="1" applyAlignment="1">
      <alignment horizontal="center"/>
    </xf>
    <xf numFmtId="0" fontId="1" fillId="0" borderId="25" xfId="0" quotePrefix="1" applyFont="1" applyFill="1" applyBorder="1" applyAlignment="1">
      <alignment horizontal="center"/>
    </xf>
    <xf numFmtId="1" fontId="0" fillId="2" borderId="28" xfId="0" applyNumberFormat="1" applyFill="1" applyBorder="1" applyAlignment="1">
      <alignment horizontal="center" vertical="center"/>
    </xf>
    <xf numFmtId="0" fontId="1" fillId="0" borderId="28" xfId="0" quotePrefix="1" applyFont="1" applyFill="1" applyBorder="1" applyAlignment="1">
      <alignment horizontal="center" vertical="center"/>
    </xf>
    <xf numFmtId="164" fontId="0" fillId="0" borderId="28" xfId="0" applyNumberFormat="1" applyFill="1" applyBorder="1" applyAlignment="1">
      <alignment horizontal="center"/>
    </xf>
    <xf numFmtId="164" fontId="0" fillId="0" borderId="29" xfId="0" applyNumberFormat="1" applyFill="1" applyBorder="1" applyAlignment="1">
      <alignment horizontal="center"/>
    </xf>
    <xf numFmtId="164" fontId="0" fillId="0" borderId="51" xfId="0" applyNumberFormat="1" applyFill="1" applyBorder="1" applyAlignment="1">
      <alignment horizontal="center"/>
    </xf>
    <xf numFmtId="0" fontId="1" fillId="0" borderId="51" xfId="0" quotePrefix="1" applyFont="1" applyFill="1" applyBorder="1" applyAlignment="1">
      <alignment horizontal="center"/>
    </xf>
    <xf numFmtId="167" fontId="0" fillId="0" borderId="51" xfId="0" applyNumberFormat="1" applyFill="1" applyBorder="1" applyAlignment="1">
      <alignment horizontal="center"/>
    </xf>
    <xf numFmtId="0" fontId="1" fillId="0" borderId="50" xfId="0" quotePrefix="1" applyFont="1" applyFill="1" applyBorder="1" applyAlignment="1">
      <alignment horizontal="center"/>
    </xf>
    <xf numFmtId="164" fontId="0" fillId="6" borderId="51" xfId="0" applyNumberFormat="1" applyFill="1" applyBorder="1" applyAlignment="1">
      <alignment horizontal="center"/>
    </xf>
    <xf numFmtId="166" fontId="0" fillId="0" borderId="51" xfId="0" applyNumberFormat="1" applyFill="1" applyBorder="1" applyAlignment="1">
      <alignment horizontal="center"/>
    </xf>
    <xf numFmtId="164" fontId="0" fillId="0" borderId="53" xfId="0" applyNumberFormat="1" applyFill="1" applyBorder="1" applyAlignment="1">
      <alignment horizontal="center"/>
    </xf>
    <xf numFmtId="0" fontId="1" fillId="0" borderId="0" xfId="0" applyFont="1" applyFill="1"/>
    <xf numFmtId="0" fontId="0" fillId="0" borderId="13" xfId="0" applyBorder="1" applyAlignment="1">
      <alignment horizontal="left" wrapText="1"/>
    </xf>
    <xf numFmtId="0" fontId="0" fillId="0" borderId="12" xfId="0" applyBorder="1" applyAlignment="1">
      <alignment horizontal="left" wrapText="1"/>
    </xf>
    <xf numFmtId="0" fontId="1" fillId="0" borderId="12" xfId="0" applyFont="1" applyBorder="1" applyAlignment="1">
      <alignment horizontal="left" wrapText="1"/>
    </xf>
    <xf numFmtId="0" fontId="0" fillId="0" borderId="7" xfId="0"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37" xfId="0"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5" xfId="0" applyBorder="1" applyAlignment="1">
      <alignment horizontal="left" wrapText="1"/>
    </xf>
    <xf numFmtId="0" fontId="1" fillId="0" borderId="37" xfId="0" applyFont="1" applyBorder="1" applyAlignment="1">
      <alignment horizontal="left" wrapText="1"/>
    </xf>
    <xf numFmtId="0" fontId="3" fillId="0" borderId="0" xfId="0" applyFont="1" applyAlignment="1">
      <alignment horizontal="center"/>
    </xf>
    <xf numFmtId="0" fontId="1" fillId="0" borderId="0" xfId="0" applyFont="1" applyAlignment="1">
      <alignment horizontal="center"/>
    </xf>
    <xf numFmtId="0" fontId="1" fillId="0" borderId="20" xfId="0" applyFont="1" applyBorder="1" applyAlignment="1">
      <alignment horizontal="left" wrapText="1"/>
    </xf>
    <xf numFmtId="0" fontId="0" fillId="0" borderId="38" xfId="0" applyBorder="1" applyAlignment="1">
      <alignment horizontal="left" wrapText="1"/>
    </xf>
    <xf numFmtId="0" fontId="1" fillId="0" borderId="38" xfId="0" applyFont="1" applyBorder="1" applyAlignment="1">
      <alignment horizontal="left" wrapText="1"/>
    </xf>
    <xf numFmtId="0" fontId="0" fillId="0" borderId="6" xfId="0" applyBorder="1" applyAlignment="1">
      <alignment horizontal="left" wrapText="1"/>
    </xf>
    <xf numFmtId="166" fontId="0" fillId="0" borderId="4" xfId="0" applyNumberFormat="1" applyBorder="1" applyAlignment="1">
      <alignment horizontal="center"/>
    </xf>
    <xf numFmtId="166" fontId="0" fillId="0" borderId="15" xfId="0" applyNumberFormat="1" applyBorder="1" applyAlignment="1">
      <alignment horizontal="center"/>
    </xf>
    <xf numFmtId="0" fontId="1" fillId="0" borderId="1" xfId="0" quotePrefix="1" applyFont="1" applyBorder="1" applyAlignment="1">
      <alignment horizontal="center"/>
    </xf>
    <xf numFmtId="0" fontId="1" fillId="0" borderId="8" xfId="0" quotePrefix="1" applyFont="1" applyBorder="1" applyAlignment="1">
      <alignment horizontal="center"/>
    </xf>
    <xf numFmtId="0" fontId="3"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7" borderId="2" xfId="0" applyFont="1" applyFill="1" applyBorder="1" applyAlignment="1">
      <alignment horizontal="center"/>
    </xf>
    <xf numFmtId="0" fontId="0" fillId="7" borderId="2" xfId="0" applyFill="1" applyBorder="1" applyAlignment="1">
      <alignment horizontal="center"/>
    </xf>
    <xf numFmtId="0" fontId="1" fillId="0" borderId="17" xfId="0" applyFont="1" applyBorder="1"/>
    <xf numFmtId="0" fontId="1" fillId="0" borderId="2" xfId="0" applyFont="1" applyBorder="1"/>
    <xf numFmtId="2" fontId="0" fillId="0" borderId="2" xfId="0" applyNumberFormat="1" applyBorder="1" applyAlignment="1">
      <alignment horizontal="center"/>
    </xf>
    <xf numFmtId="0" fontId="1" fillId="0" borderId="16" xfId="0" applyFont="1" applyBorder="1"/>
    <xf numFmtId="0" fontId="1" fillId="0" borderId="4" xfId="0" applyFont="1" applyBorder="1"/>
    <xf numFmtId="166" fontId="0" fillId="7" borderId="2" xfId="0" applyNumberFormat="1" applyFill="1" applyBorder="1" applyAlignment="1">
      <alignment horizontal="center"/>
    </xf>
    <xf numFmtId="166" fontId="0" fillId="7" borderId="4" xfId="0" applyNumberFormat="1" applyFill="1" applyBorder="1" applyAlignment="1">
      <alignment horizontal="center"/>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2" fontId="0" fillId="0" borderId="4" xfId="0" applyNumberFormat="1"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166" fontId="0" fillId="0" borderId="2" xfId="0" applyNumberFormat="1" applyBorder="1" applyAlignment="1">
      <alignment horizontal="center"/>
    </xf>
    <xf numFmtId="166" fontId="0" fillId="0" borderId="3" xfId="0" applyNumberFormat="1" applyBorder="1" applyAlignment="1">
      <alignment horizontal="center"/>
    </xf>
    <xf numFmtId="0" fontId="3" fillId="0" borderId="17" xfId="0" applyFont="1" applyBorder="1" applyAlignment="1">
      <alignment vertical="center" wrapText="1"/>
    </xf>
    <xf numFmtId="0" fontId="0" fillId="0" borderId="2" xfId="0" applyBorder="1" applyAlignment="1">
      <alignment vertical="center" wrapText="1"/>
    </xf>
    <xf numFmtId="0" fontId="0" fillId="0" borderId="17" xfId="0" applyBorder="1" applyAlignment="1">
      <alignment vertical="center" wrapText="1"/>
    </xf>
    <xf numFmtId="0" fontId="1" fillId="7" borderId="1" xfId="0" quotePrefix="1" applyFont="1" applyFill="1" applyBorder="1" applyAlignment="1">
      <alignment horizontal="center"/>
    </xf>
    <xf numFmtId="0" fontId="3" fillId="0" borderId="30" xfId="0" applyFont="1" applyBorder="1" applyAlignment="1">
      <alignment horizontal="center" vertical="center"/>
    </xf>
    <xf numFmtId="2" fontId="1" fillId="0" borderId="16" xfId="0" applyNumberFormat="1" applyFont="1" applyFill="1" applyBorder="1" applyAlignment="1">
      <alignment horizontal="left"/>
    </xf>
    <xf numFmtId="0" fontId="0" fillId="0" borderId="4" xfId="0" applyBorder="1" applyAlignment="1"/>
    <xf numFmtId="164" fontId="0" fillId="0" borderId="15" xfId="0" applyNumberFormat="1" applyBorder="1" applyAlignment="1">
      <alignment horizontal="center"/>
    </xf>
    <xf numFmtId="164" fontId="0" fillId="0" borderId="16" xfId="0" applyNumberFormat="1" applyBorder="1" applyAlignment="1">
      <alignment horizontal="center"/>
    </xf>
    <xf numFmtId="0" fontId="1" fillId="0" borderId="2" xfId="0" quotePrefix="1" applyFont="1" applyBorder="1" applyAlignment="1">
      <alignment horizontal="center"/>
    </xf>
    <xf numFmtId="0" fontId="0" fillId="0" borderId="2" xfId="0" applyBorder="1" applyAlignment="1">
      <alignment horizontal="center"/>
    </xf>
    <xf numFmtId="164" fontId="0" fillId="0" borderId="4" xfId="0" applyNumberFormat="1" applyFill="1" applyBorder="1" applyAlignment="1">
      <alignment horizontal="center"/>
    </xf>
    <xf numFmtId="164" fontId="0" fillId="0" borderId="15" xfId="0" applyNumberFormat="1" applyFill="1" applyBorder="1" applyAlignment="1">
      <alignment horizontal="center"/>
    </xf>
    <xf numFmtId="164" fontId="0" fillId="0" borderId="3" xfId="0" applyNumberFormat="1" applyBorder="1" applyAlignment="1">
      <alignment horizontal="center"/>
    </xf>
    <xf numFmtId="164" fontId="0" fillId="0" borderId="17" xfId="0" applyNumberFormat="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0" fontId="0" fillId="0" borderId="34" xfId="0" quotePrefix="1" applyBorder="1" applyAlignment="1">
      <alignment horizontal="center"/>
    </xf>
    <xf numFmtId="0" fontId="0" fillId="0" borderId="1" xfId="0" applyBorder="1" applyAlignment="1"/>
    <xf numFmtId="0" fontId="1" fillId="0" borderId="17" xfId="0" applyFont="1" applyBorder="1" applyAlignment="1">
      <alignment horizontal="left"/>
    </xf>
    <xf numFmtId="0" fontId="1" fillId="0" borderId="2" xfId="0" applyFont="1" applyBorder="1" applyAlignment="1">
      <alignment horizontal="left"/>
    </xf>
    <xf numFmtId="2" fontId="1" fillId="0" borderId="4" xfId="0" applyNumberFormat="1" applyFont="1" applyFill="1" applyBorder="1" applyAlignment="1">
      <alignment horizontal="left"/>
    </xf>
    <xf numFmtId="1" fontId="1" fillId="0" borderId="2" xfId="0" quotePrefix="1" applyNumberFormat="1" applyFont="1" applyFill="1" applyBorder="1" applyAlignment="1">
      <alignment horizontal="center"/>
    </xf>
    <xf numFmtId="0" fontId="1" fillId="0" borderId="17" xfId="0" applyFont="1" applyBorder="1" applyAlignment="1">
      <alignment vertical="top"/>
    </xf>
    <xf numFmtId="0" fontId="1" fillId="0" borderId="2" xfId="0" applyFont="1" applyBorder="1" applyAlignment="1">
      <alignment vertical="top"/>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0" fillId="0" borderId="17" xfId="0" applyBorder="1" applyAlignment="1"/>
    <xf numFmtId="0" fontId="0" fillId="0" borderId="2" xfId="0" applyBorder="1" applyAlignment="1"/>
    <xf numFmtId="0" fontId="0" fillId="0" borderId="17" xfId="0" applyFill="1" applyBorder="1" applyAlignment="1">
      <alignment horizontal="center"/>
    </xf>
    <xf numFmtId="2" fontId="1" fillId="0" borderId="17" xfId="0" applyNumberFormat="1" applyFont="1" applyFill="1" applyBorder="1" applyAlignment="1">
      <alignment horizontal="left"/>
    </xf>
    <xf numFmtId="0" fontId="0" fillId="0" borderId="17" xfId="0" applyBorder="1" applyAlignment="1">
      <alignment horizontal="center"/>
    </xf>
    <xf numFmtId="0" fontId="0" fillId="0" borderId="14" xfId="0" applyFill="1" applyBorder="1" applyAlignment="1">
      <alignment horizontal="center"/>
    </xf>
    <xf numFmtId="0" fontId="0" fillId="0" borderId="3" xfId="0" applyBorder="1" applyAlignment="1">
      <alignment horizontal="center"/>
    </xf>
    <xf numFmtId="0" fontId="3" fillId="0" borderId="2" xfId="0" applyFont="1" applyBorder="1" applyAlignment="1">
      <alignment horizontal="center"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3" fillId="0" borderId="38" xfId="0" applyFont="1" applyBorder="1" applyAlignment="1">
      <alignment horizontal="left" vertical="center" wrapText="1"/>
    </xf>
    <xf numFmtId="0" fontId="0" fillId="0" borderId="6" xfId="0" applyBorder="1" applyAlignment="1">
      <alignment horizontal="left" vertical="center"/>
    </xf>
    <xf numFmtId="0" fontId="3" fillId="0" borderId="0"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1" fillId="0" borderId="2" xfId="0" applyFont="1" applyBorder="1" applyAlignment="1">
      <alignment horizontal="center" vertical="center" wrapText="1"/>
    </xf>
    <xf numFmtId="0" fontId="0" fillId="0" borderId="1" xfId="0" applyBorder="1" applyAlignment="1">
      <alignment horizontal="center"/>
    </xf>
    <xf numFmtId="0" fontId="0" fillId="0" borderId="8" xfId="0" applyBorder="1" applyAlignment="1"/>
    <xf numFmtId="0" fontId="0" fillId="0" borderId="2" xfId="0" applyBorder="1" applyAlignment="1">
      <alignment horizontal="center" wrapText="1"/>
    </xf>
    <xf numFmtId="0" fontId="0" fillId="0" borderId="2" xfId="0" applyBorder="1" applyAlignment="1">
      <alignment wrapText="1"/>
    </xf>
    <xf numFmtId="0" fontId="3" fillId="8" borderId="3" xfId="0" applyFont="1" applyFill="1" applyBorder="1" applyAlignment="1">
      <alignment horizontal="center" wrapText="1"/>
    </xf>
    <xf numFmtId="0" fontId="1" fillId="0" borderId="2" xfId="0" quotePrefix="1" applyFont="1" applyBorder="1" applyAlignment="1">
      <alignment horizontal="center" vertical="center" wrapText="1"/>
    </xf>
    <xf numFmtId="0" fontId="0" fillId="0" borderId="2" xfId="0" quotePrefix="1" applyBorder="1" applyAlignment="1">
      <alignment horizontal="center" vertical="center" wrapText="1"/>
    </xf>
    <xf numFmtId="0" fontId="0" fillId="0" borderId="3" xfId="0" applyBorder="1" applyAlignment="1"/>
    <xf numFmtId="0" fontId="0" fillId="0" borderId="30" xfId="0" applyBorder="1" applyAlignment="1">
      <alignment horizontal="center" vertical="center"/>
    </xf>
    <xf numFmtId="0" fontId="0" fillId="0" borderId="30" xfId="0" applyBorder="1" applyAlignment="1">
      <alignment horizontal="center"/>
    </xf>
    <xf numFmtId="0" fontId="0" fillId="0" borderId="1" xfId="0" quotePrefix="1" applyBorder="1" applyAlignment="1">
      <alignment horizontal="center"/>
    </xf>
    <xf numFmtId="164" fontId="0" fillId="0" borderId="11" xfId="0" applyNumberFormat="1" applyBorder="1" applyAlignment="1">
      <alignment horizontal="center" vertical="center"/>
    </xf>
    <xf numFmtId="164" fontId="0" fillId="0" borderId="19" xfId="0" applyNumberFormat="1" applyBorder="1" applyAlignment="1">
      <alignment horizontal="center" vertical="center"/>
    </xf>
    <xf numFmtId="2" fontId="0" fillId="0" borderId="11" xfId="0" applyNumberFormat="1" applyBorder="1" applyAlignment="1">
      <alignment horizontal="center" vertical="center"/>
    </xf>
    <xf numFmtId="0" fontId="0" fillId="0" borderId="19" xfId="0" applyBorder="1" applyAlignment="1">
      <alignment horizontal="center" vertical="center"/>
    </xf>
    <xf numFmtId="164" fontId="0" fillId="8" borderId="20" xfId="0" applyNumberFormat="1" applyFill="1" applyBorder="1" applyAlignment="1">
      <alignment horizontal="center" vertical="center"/>
    </xf>
    <xf numFmtId="164" fontId="0" fillId="8" borderId="13" xfId="0" applyNumberFormat="1" applyFill="1" applyBorder="1" applyAlignment="1">
      <alignment horizontal="center" vertical="center"/>
    </xf>
    <xf numFmtId="0" fontId="0" fillId="0" borderId="3" xfId="0"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28" xfId="0" applyBorder="1" applyAlignment="1">
      <alignment horizontal="center" vertical="center"/>
    </xf>
    <xf numFmtId="2" fontId="0" fillId="0" borderId="20" xfId="0" applyNumberForma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164" fontId="0" fillId="7" borderId="20"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43" xfId="0" applyNumberFormat="1" applyFill="1" applyBorder="1" applyAlignment="1">
      <alignment horizontal="center" vertical="center"/>
    </xf>
    <xf numFmtId="0" fontId="1" fillId="0" borderId="2" xfId="0" applyFont="1" applyBorder="1" applyAlignment="1">
      <alignment horizontal="center"/>
    </xf>
    <xf numFmtId="164" fontId="0" fillId="0" borderId="28" xfId="0" applyNumberFormat="1" applyBorder="1" applyAlignment="1">
      <alignment horizontal="center" vertical="center"/>
    </xf>
    <xf numFmtId="164" fontId="0" fillId="8" borderId="29" xfId="0" applyNumberFormat="1" applyFill="1" applyBorder="1" applyAlignment="1">
      <alignment horizontal="center" vertical="center"/>
    </xf>
    <xf numFmtId="164" fontId="0" fillId="7" borderId="3" xfId="0" applyNumberFormat="1" applyFill="1" applyBorder="1" applyAlignment="1">
      <alignment horizontal="center"/>
    </xf>
    <xf numFmtId="164" fontId="0" fillId="7" borderId="17" xfId="0" applyNumberFormat="1" applyFill="1" applyBorder="1" applyAlignment="1">
      <alignment horizont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2" fontId="3" fillId="0" borderId="2" xfId="0" applyNumberFormat="1" applyFont="1" applyFill="1" applyBorder="1" applyAlignment="1">
      <alignment horizontal="center" vertical="top" wrapText="1"/>
    </xf>
    <xf numFmtId="0" fontId="0" fillId="0" borderId="2" xfId="0" applyBorder="1" applyAlignment="1">
      <alignment horizontal="center" vertical="top" wrapText="1"/>
    </xf>
    <xf numFmtId="0" fontId="3" fillId="7" borderId="2" xfId="0" applyFont="1" applyFill="1" applyBorder="1" applyAlignment="1">
      <alignment horizontal="center" wrapText="1"/>
    </xf>
    <xf numFmtId="0" fontId="0" fillId="7" borderId="2" xfId="0" applyFill="1" applyBorder="1" applyAlignment="1">
      <alignment wrapText="1"/>
    </xf>
    <xf numFmtId="0" fontId="0" fillId="0" borderId="38"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7" xfId="0" applyBorder="1" applyAlignment="1">
      <alignment horizontal="center" vertical="center"/>
    </xf>
    <xf numFmtId="164" fontId="0" fillId="7" borderId="13" xfId="0" applyNumberFormat="1" applyFill="1" applyBorder="1" applyAlignment="1">
      <alignment horizontal="center" vertical="center"/>
    </xf>
    <xf numFmtId="164" fontId="0" fillId="7" borderId="7" xfId="0" applyNumberFormat="1" applyFill="1" applyBorder="1" applyAlignment="1">
      <alignment horizontal="center" vertical="center"/>
    </xf>
    <xf numFmtId="0" fontId="1"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4" fillId="7" borderId="2" xfId="0" applyFont="1" applyFill="1" applyBorder="1" applyAlignment="1">
      <alignment horizontal="center"/>
    </xf>
    <xf numFmtId="0" fontId="0" fillId="7" borderId="3" xfId="0" applyFill="1" applyBorder="1" applyAlignment="1"/>
    <xf numFmtId="0" fontId="0" fillId="7" borderId="2" xfId="0" applyFill="1" applyBorder="1" applyAlignment="1"/>
    <xf numFmtId="0" fontId="1" fillId="7" borderId="2" xfId="0" quotePrefix="1" applyFont="1" applyFill="1" applyBorder="1" applyAlignment="1">
      <alignment horizontal="center" vertical="top" wrapText="1"/>
    </xf>
    <xf numFmtId="2" fontId="0" fillId="7" borderId="15" xfId="0" applyNumberFormat="1" applyFill="1" applyBorder="1" applyAlignment="1">
      <alignment horizontal="center"/>
    </xf>
    <xf numFmtId="0" fontId="0" fillId="7" borderId="45" xfId="0" applyFill="1" applyBorder="1" applyAlignment="1">
      <alignment horizontal="center"/>
    </xf>
    <xf numFmtId="0" fontId="1" fillId="0" borderId="2" xfId="0" applyFont="1" applyBorder="1" applyAlignment="1">
      <alignment horizontal="center" wrapText="1"/>
    </xf>
    <xf numFmtId="0" fontId="0" fillId="0" borderId="30"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5" xfId="0" applyFill="1" applyBorder="1" applyAlignment="1"/>
    <xf numFmtId="0" fontId="3" fillId="0" borderId="13" xfId="0" applyFont="1" applyFill="1" applyBorder="1" applyAlignment="1">
      <alignment horizontal="center"/>
    </xf>
    <xf numFmtId="0" fontId="0" fillId="0" borderId="12" xfId="0" applyFill="1" applyBorder="1" applyAlignment="1">
      <alignment horizontal="center"/>
    </xf>
    <xf numFmtId="0" fontId="0" fillId="0" borderId="0" xfId="0" applyBorder="1" applyAlignment="1"/>
    <xf numFmtId="0" fontId="1" fillId="2" borderId="37" xfId="0" applyFont="1" applyFill="1" applyBorder="1" applyAlignment="1">
      <alignment horizontal="center"/>
    </xf>
    <xf numFmtId="0" fontId="0" fillId="2" borderId="0" xfId="0" applyFill="1" applyAlignment="1"/>
    <xf numFmtId="0" fontId="0" fillId="2" borderId="5" xfId="0" applyFill="1" applyBorder="1" applyAlignment="1"/>
    <xf numFmtId="0" fontId="0" fillId="0" borderId="37" xfId="0" applyBorder="1" applyAlignment="1"/>
    <xf numFmtId="0" fontId="0" fillId="0" borderId="0" xfId="0" applyAlignment="1"/>
    <xf numFmtId="0" fontId="0" fillId="0" borderId="5" xfId="0" applyBorder="1" applyAlignment="1"/>
    <xf numFmtId="0" fontId="0" fillId="0" borderId="38" xfId="0" applyBorder="1" applyAlignment="1"/>
    <xf numFmtId="0" fontId="1" fillId="2" borderId="20" xfId="0" applyFont="1" applyFill="1" applyBorder="1" applyAlignment="1">
      <alignment horizontal="center"/>
    </xf>
    <xf numFmtId="0" fontId="0" fillId="2" borderId="38" xfId="0" applyFill="1" applyBorder="1" applyAlignment="1"/>
    <xf numFmtId="0" fontId="0" fillId="2" borderId="6" xfId="0" applyFill="1" applyBorder="1" applyAlignment="1"/>
    <xf numFmtId="0" fontId="0" fillId="0" borderId="20" xfId="0" applyBorder="1" applyAlignment="1"/>
    <xf numFmtId="0" fontId="0" fillId="0" borderId="6" xfId="0" applyBorder="1" applyAlignment="1"/>
    <xf numFmtId="165" fontId="0" fillId="2" borderId="37" xfId="0" applyNumberFormat="1" applyFill="1" applyBorder="1" applyAlignment="1">
      <alignment horizontal="center"/>
    </xf>
    <xf numFmtId="0" fontId="3" fillId="0" borderId="14" xfId="0" applyFont="1" applyFill="1" applyBorder="1" applyAlignment="1">
      <alignment horizontal="center"/>
    </xf>
    <xf numFmtId="0" fontId="0" fillId="0" borderId="14" xfId="0" applyFill="1" applyBorder="1" applyAlignment="1"/>
    <xf numFmtId="0" fontId="0" fillId="0" borderId="17" xfId="0" applyFill="1" applyBorder="1" applyAlignment="1"/>
    <xf numFmtId="0" fontId="3" fillId="0" borderId="3" xfId="0" applyFont="1" applyFill="1" applyBorder="1" applyAlignment="1">
      <alignment horizontal="center"/>
    </xf>
    <xf numFmtId="0" fontId="0" fillId="0" borderId="12" xfId="0" applyBorder="1" applyAlignment="1"/>
    <xf numFmtId="0" fontId="6" fillId="2" borderId="13" xfId="0" applyFont="1" applyFill="1" applyBorder="1" applyAlignment="1">
      <alignment horizontal="center"/>
    </xf>
    <xf numFmtId="0" fontId="0" fillId="2" borderId="12" xfId="0" applyFill="1" applyBorder="1" applyAlignment="1"/>
    <xf numFmtId="0" fontId="0" fillId="0" borderId="14" xfId="0" applyBorder="1" applyAlignment="1"/>
    <xf numFmtId="0" fontId="0" fillId="0" borderId="3" xfId="0" quotePrefix="1" applyBorder="1" applyAlignment="1">
      <alignment horizontal="center"/>
    </xf>
    <xf numFmtId="0" fontId="0" fillId="2" borderId="20" xfId="0" applyFill="1" applyBorder="1" applyAlignment="1">
      <alignment horizontal="center"/>
    </xf>
    <xf numFmtId="0" fontId="1" fillId="0" borderId="3" xfId="0" applyFont="1" applyBorder="1" applyAlignment="1">
      <alignment horizontal="center"/>
    </xf>
    <xf numFmtId="0" fontId="1" fillId="0" borderId="14" xfId="0" applyFont="1" applyBorder="1" applyAlignment="1"/>
    <xf numFmtId="0" fontId="1" fillId="0" borderId="20" xfId="0" quotePrefix="1" applyFont="1" applyBorder="1" applyAlignment="1">
      <alignment horizontal="center"/>
    </xf>
    <xf numFmtId="0" fontId="0" fillId="3" borderId="20" xfId="0" applyFill="1" applyBorder="1" applyAlignment="1">
      <alignment horizontal="center"/>
    </xf>
    <xf numFmtId="0" fontId="0" fillId="3" borderId="38" xfId="0" applyFill="1" applyBorder="1" applyAlignment="1"/>
    <xf numFmtId="0" fontId="0" fillId="0" borderId="14" xfId="0" quotePrefix="1" applyBorder="1" applyAlignment="1">
      <alignment horizontal="center"/>
    </xf>
    <xf numFmtId="0" fontId="6" fillId="0" borderId="3" xfId="0" applyFont="1" applyBorder="1" applyAlignment="1">
      <alignment horizontal="center"/>
    </xf>
    <xf numFmtId="0" fontId="1" fillId="3" borderId="3" xfId="0" applyFont="1" applyFill="1" applyBorder="1" applyAlignment="1">
      <alignment horizontal="center"/>
    </xf>
    <xf numFmtId="0" fontId="0" fillId="3" borderId="14" xfId="0" applyFill="1" applyBorder="1" applyAlignment="1"/>
    <xf numFmtId="0" fontId="0" fillId="3" borderId="14" xfId="0" applyFill="1" applyBorder="1" applyAlignment="1">
      <alignment horizontal="center"/>
    </xf>
    <xf numFmtId="3" fontId="0" fillId="2" borderId="3" xfId="0" applyNumberFormat="1" applyFill="1" applyBorder="1" applyAlignment="1">
      <alignment horizontal="center"/>
    </xf>
    <xf numFmtId="3" fontId="0" fillId="2" borderId="14" xfId="0" applyNumberFormat="1" applyFill="1" applyBorder="1" applyAlignment="1"/>
    <xf numFmtId="0" fontId="0" fillId="2" borderId="3" xfId="0" applyFill="1" applyBorder="1" applyAlignment="1">
      <alignment horizontal="center"/>
    </xf>
    <xf numFmtId="0" fontId="0" fillId="2" borderId="14" xfId="0" applyFill="1" applyBorder="1" applyAlignment="1"/>
    <xf numFmtId="0" fontId="0" fillId="0" borderId="7" xfId="0" applyBorder="1" applyAlignment="1"/>
    <xf numFmtId="0" fontId="0" fillId="3" borderId="3" xfId="0" applyFill="1" applyBorder="1" applyAlignment="1">
      <alignment horizontal="center"/>
    </xf>
    <xf numFmtId="0" fontId="0" fillId="2" borderId="14" xfId="0" applyFill="1" applyBorder="1" applyAlignment="1">
      <alignment horizontal="center"/>
    </xf>
    <xf numFmtId="0" fontId="0" fillId="7" borderId="1" xfId="0" quotePrefix="1" applyFill="1" applyBorder="1" applyAlignment="1">
      <alignment horizontal="center"/>
    </xf>
    <xf numFmtId="0" fontId="0" fillId="7" borderId="8" xfId="0" applyFill="1" applyBorder="1" applyAlignment="1"/>
    <xf numFmtId="0" fontId="0" fillId="0" borderId="42" xfId="0" applyBorder="1" applyAlignment="1"/>
    <xf numFmtId="0" fontId="0" fillId="0" borderId="41" xfId="0" applyBorder="1" applyAlignment="1"/>
    <xf numFmtId="0" fontId="0" fillId="7" borderId="1" xfId="0" applyFill="1" applyBorder="1" applyAlignment="1"/>
    <xf numFmtId="0" fontId="1" fillId="0" borderId="14" xfId="0" applyFont="1" applyFill="1" applyBorder="1" applyAlignment="1"/>
    <xf numFmtId="0" fontId="1" fillId="7" borderId="2" xfId="0" applyFont="1" applyFill="1" applyBorder="1" applyAlignment="1">
      <alignment horizontal="center" vertical="top"/>
    </xf>
    <xf numFmtId="0" fontId="4" fillId="7" borderId="17" xfId="0" applyFont="1" applyFill="1" applyBorder="1" applyAlignment="1">
      <alignment horizontal="center"/>
    </xf>
    <xf numFmtId="0" fontId="1" fillId="7" borderId="6" xfId="0" applyFont="1" applyFill="1" applyBorder="1" applyAlignment="1">
      <alignment horizontal="center" vertical="top" wrapText="1"/>
    </xf>
    <xf numFmtId="0" fontId="0" fillId="7" borderId="11" xfId="0" applyFill="1" applyBorder="1" applyAlignment="1">
      <alignment wrapText="1"/>
    </xf>
    <xf numFmtId="0" fontId="0" fillId="7" borderId="7" xfId="0" applyFill="1" applyBorder="1" applyAlignment="1">
      <alignment wrapText="1"/>
    </xf>
    <xf numFmtId="0" fontId="0" fillId="7" borderId="19" xfId="0" applyFill="1" applyBorder="1" applyAlignment="1">
      <alignment wrapText="1"/>
    </xf>
    <xf numFmtId="0" fontId="1" fillId="7" borderId="11" xfId="0" applyFont="1" applyFill="1" applyBorder="1" applyAlignment="1">
      <alignment horizontal="center" vertical="top" wrapText="1"/>
    </xf>
    <xf numFmtId="0" fontId="3" fillId="7" borderId="30" xfId="0" applyFont="1" applyFill="1" applyBorder="1" applyAlignment="1">
      <alignment horizontal="center" vertical="center"/>
    </xf>
    <xf numFmtId="0" fontId="0" fillId="7" borderId="30" xfId="0" applyFill="1" applyBorder="1" applyAlignment="1">
      <alignment horizontal="center" vertical="center"/>
    </xf>
    <xf numFmtId="0" fontId="0" fillId="7" borderId="34" xfId="0" quotePrefix="1" applyFill="1" applyBorder="1" applyAlignment="1">
      <alignment horizontal="center"/>
    </xf>
    <xf numFmtId="2" fontId="0" fillId="0" borderId="40" xfId="0" applyNumberFormat="1" applyBorder="1" applyAlignment="1">
      <alignment horizontal="center"/>
    </xf>
    <xf numFmtId="2" fontId="0" fillId="0" borderId="41" xfId="0" applyNumberFormat="1" applyBorder="1" applyAlignment="1"/>
    <xf numFmtId="2" fontId="0" fillId="2" borderId="40" xfId="0" applyNumberFormat="1" applyFill="1" applyBorder="1" applyAlignment="1">
      <alignment horizontal="center"/>
    </xf>
    <xf numFmtId="0" fontId="0" fillId="2" borderId="42" xfId="0" applyFill="1" applyBorder="1" applyAlignment="1"/>
    <xf numFmtId="0" fontId="3" fillId="0" borderId="38" xfId="0" applyFont="1" applyBorder="1" applyAlignment="1">
      <alignment horizontal="center" vertical="top" wrapText="1"/>
    </xf>
    <xf numFmtId="0" fontId="0" fillId="0" borderId="38" xfId="0" applyBorder="1" applyAlignment="1">
      <alignment wrapText="1"/>
    </xf>
    <xf numFmtId="0" fontId="0" fillId="0" borderId="0" xfId="0" applyBorder="1" applyAlignment="1">
      <alignment wrapText="1"/>
    </xf>
    <xf numFmtId="0" fontId="0" fillId="0" borderId="0" xfId="0" applyAlignment="1">
      <alignment wrapText="1"/>
    </xf>
    <xf numFmtId="2" fontId="0" fillId="7" borderId="16" xfId="0" applyNumberFormat="1" applyFill="1" applyBorder="1" applyAlignment="1">
      <alignment horizontal="center"/>
    </xf>
    <xf numFmtId="2" fontId="0" fillId="7" borderId="45" xfId="0" applyNumberFormat="1" applyFill="1" applyBorder="1" applyAlignment="1">
      <alignment horizontal="center"/>
    </xf>
    <xf numFmtId="0" fontId="0" fillId="7" borderId="16" xfId="0" applyFill="1" applyBorder="1" applyAlignment="1"/>
    <xf numFmtId="0" fontId="0" fillId="7" borderId="45" xfId="0" applyFill="1" applyBorder="1" applyAlignment="1"/>
    <xf numFmtId="2" fontId="0" fillId="0" borderId="0" xfId="0" applyNumberFormat="1" applyFill="1" applyBorder="1" applyAlignment="1">
      <alignment horizontal="center"/>
    </xf>
    <xf numFmtId="0" fontId="0" fillId="7" borderId="20" xfId="0" applyFill="1" applyBorder="1" applyAlignment="1">
      <alignment wrapText="1"/>
    </xf>
    <xf numFmtId="0" fontId="0" fillId="7" borderId="13" xfId="0" applyFill="1" applyBorder="1" applyAlignment="1">
      <alignment wrapText="1"/>
    </xf>
    <xf numFmtId="0" fontId="3" fillId="0" borderId="2" xfId="0" applyFont="1" applyBorder="1" applyAlignment="1">
      <alignment horizontal="center" wrapText="1"/>
    </xf>
    <xf numFmtId="0" fontId="0" fillId="7" borderId="11" xfId="0" applyFill="1" applyBorder="1" applyAlignment="1">
      <alignment horizontal="center" vertical="top" wrapText="1"/>
    </xf>
    <xf numFmtId="0" fontId="1" fillId="7" borderId="17" xfId="0" applyFont="1" applyFill="1" applyBorder="1" applyAlignment="1">
      <alignment horizontal="center" vertical="top"/>
    </xf>
    <xf numFmtId="0" fontId="1" fillId="0" borderId="34" xfId="0" quotePrefix="1" applyFont="1" applyBorder="1" applyAlignment="1">
      <alignment horizontal="center"/>
    </xf>
    <xf numFmtId="0" fontId="0" fillId="0" borderId="2" xfId="0" applyBorder="1" applyAlignment="1">
      <alignment horizontal="center" vertical="center" wrapText="1"/>
    </xf>
    <xf numFmtId="0" fontId="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2" fontId="0" fillId="0" borderId="37" xfId="0" applyNumberFormat="1" applyBorder="1" applyAlignment="1">
      <alignment horizontal="center"/>
    </xf>
    <xf numFmtId="0" fontId="0" fillId="0" borderId="0" xfId="0" applyAlignment="1">
      <alignment horizontal="center"/>
    </xf>
    <xf numFmtId="0" fontId="3" fillId="0" borderId="17" xfId="0" applyFont="1" applyBorder="1" applyAlignment="1">
      <alignment horizontal="center" vertical="top" wrapText="1"/>
    </xf>
    <xf numFmtId="2" fontId="3" fillId="0" borderId="6" xfId="0" applyNumberFormat="1" applyFont="1" applyFill="1" applyBorder="1" applyAlignment="1">
      <alignment horizontal="lef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32"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1" fillId="0" borderId="17" xfId="0" applyFont="1" applyFill="1" applyBorder="1" applyAlignment="1">
      <alignment horizontal="left"/>
    </xf>
    <xf numFmtId="0" fontId="0" fillId="0" borderId="2" xfId="0" applyBorder="1" applyAlignment="1">
      <alignment horizontal="left"/>
    </xf>
    <xf numFmtId="0" fontId="0" fillId="0" borderId="36" xfId="0" quotePrefix="1" applyBorder="1" applyAlignment="1">
      <alignment horizontal="center"/>
    </xf>
    <xf numFmtId="0" fontId="0" fillId="0" borderId="31" xfId="0" applyBorder="1" applyAlignment="1"/>
    <xf numFmtId="0" fontId="1" fillId="0" borderId="17" xfId="0" applyFont="1" applyFill="1" applyBorder="1" applyAlignment="1">
      <alignment vertical="top"/>
    </xf>
    <xf numFmtId="0" fontId="1" fillId="0" borderId="11" xfId="0" applyFont="1" applyBorder="1" applyAlignment="1">
      <alignment horizontal="center" vertical="center"/>
    </xf>
    <xf numFmtId="0" fontId="0" fillId="0" borderId="20" xfId="0" applyBorder="1" applyAlignment="1">
      <alignment horizontal="center" vertic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164" fontId="1" fillId="0" borderId="39" xfId="0" quotePrefix="1" applyNumberFormat="1" applyFont="1" applyFill="1" applyBorder="1" applyAlignment="1">
      <alignment horizontal="center"/>
    </xf>
    <xf numFmtId="0" fontId="0" fillId="0" borderId="39" xfId="0" applyBorder="1" applyAlignment="1"/>
    <xf numFmtId="164" fontId="1" fillId="7" borderId="39" xfId="0" quotePrefix="1" applyNumberFormat="1" applyFont="1" applyFill="1" applyBorder="1" applyAlignment="1">
      <alignment horizontal="center"/>
    </xf>
    <xf numFmtId="0" fontId="0" fillId="7" borderId="39" xfId="0" applyFill="1" applyBorder="1" applyAlignment="1"/>
    <xf numFmtId="0" fontId="0" fillId="0" borderId="39" xfId="0" applyBorder="1" applyAlignment="1">
      <alignment horizontal="center"/>
    </xf>
    <xf numFmtId="0" fontId="3" fillId="7" borderId="11" xfId="0" applyFont="1" applyFill="1" applyBorder="1" applyAlignment="1">
      <alignment horizontal="center" vertical="center" wrapText="1"/>
    </xf>
    <xf numFmtId="0" fontId="3" fillId="7" borderId="32" xfId="0" applyFont="1" applyFill="1" applyBorder="1" applyAlignment="1">
      <alignment horizontal="center" vertical="center" wrapText="1"/>
    </xf>
    <xf numFmtId="164" fontId="1" fillId="0" borderId="35" xfId="0" quotePrefix="1" applyNumberFormat="1" applyFont="1" applyFill="1" applyBorder="1" applyAlignment="1">
      <alignment horizontal="center"/>
    </xf>
    <xf numFmtId="0" fontId="0" fillId="0" borderId="32" xfId="0" applyBorder="1" applyAlignment="1">
      <alignment horizontal="center" vertical="center" wrapText="1"/>
    </xf>
    <xf numFmtId="0" fontId="1" fillId="7" borderId="11" xfId="0" applyFont="1" applyFill="1" applyBorder="1" applyAlignment="1">
      <alignment horizontal="center"/>
    </xf>
    <xf numFmtId="0" fontId="0" fillId="7" borderId="11" xfId="0" applyFill="1" applyBorder="1" applyAlignment="1">
      <alignment horizontal="center"/>
    </xf>
    <xf numFmtId="0" fontId="1" fillId="0" borderId="15" xfId="0" quotePrefix="1" applyFont="1" applyBorder="1" applyAlignment="1">
      <alignment horizontal="center"/>
    </xf>
    <xf numFmtId="0" fontId="0" fillId="0" borderId="16" xfId="0" applyBorder="1" applyAlignment="1">
      <alignment horizontal="center"/>
    </xf>
    <xf numFmtId="164" fontId="0" fillId="0" borderId="2" xfId="0" applyNumberFormat="1" applyBorder="1" applyAlignment="1">
      <alignment horizontal="center"/>
    </xf>
    <xf numFmtId="0" fontId="1" fillId="8" borderId="1" xfId="0" quotePrefix="1" applyFont="1" applyFill="1" applyBorder="1" applyAlignment="1">
      <alignment horizontal="center"/>
    </xf>
    <xf numFmtId="0" fontId="1" fillId="8" borderId="8" xfId="0" quotePrefix="1" applyFont="1" applyFill="1" applyBorder="1" applyAlignment="1">
      <alignment horizontal="center"/>
    </xf>
    <xf numFmtId="164" fontId="1" fillId="7" borderId="2" xfId="0" applyNumberFormat="1" applyFont="1" applyFill="1" applyBorder="1" applyAlignment="1">
      <alignment horizontal="center"/>
    </xf>
    <xf numFmtId="164" fontId="0" fillId="7" borderId="2" xfId="0" applyNumberFormat="1" applyFill="1" applyBorder="1" applyAlignment="1">
      <alignment horizontal="center"/>
    </xf>
    <xf numFmtId="164" fontId="0" fillId="7" borderId="4" xfId="0" applyNumberFormat="1" applyFill="1" applyBorder="1" applyAlignment="1">
      <alignment horizontal="center"/>
    </xf>
    <xf numFmtId="0" fontId="0" fillId="7" borderId="4" xfId="0" applyFill="1" applyBorder="1" applyAlignment="1">
      <alignment horizontal="center"/>
    </xf>
    <xf numFmtId="2" fontId="0" fillId="0" borderId="15" xfId="0" applyNumberFormat="1" applyBorder="1" applyAlignment="1">
      <alignment horizontal="center"/>
    </xf>
    <xf numFmtId="0" fontId="1" fillId="0" borderId="20" xfId="0" quotePrefix="1" applyFont="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 fillId="7" borderId="2" xfId="0" applyFont="1" applyFill="1" applyBorder="1" applyAlignment="1">
      <alignment horizontal="center" vertical="center"/>
    </xf>
    <xf numFmtId="164" fontId="0" fillId="8" borderId="3" xfId="0" applyNumberFormat="1" applyFill="1" applyBorder="1" applyAlignment="1">
      <alignment horizontal="center"/>
    </xf>
    <xf numFmtId="164" fontId="0" fillId="8" borderId="14" xfId="0" applyNumberFormat="1" applyFill="1" applyBorder="1" applyAlignment="1">
      <alignment horizontal="center"/>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0" fillId="0" borderId="3" xfId="0" applyNumberFormat="1" applyBorder="1" applyAlignment="1">
      <alignment horizontal="center"/>
    </xf>
    <xf numFmtId="0" fontId="0" fillId="7" borderId="17" xfId="0" applyFill="1" applyBorder="1" applyAlignment="1">
      <alignment horizontal="center"/>
    </xf>
    <xf numFmtId="0" fontId="1" fillId="7" borderId="3" xfId="0" quotePrefix="1" applyFont="1" applyFill="1" applyBorder="1" applyAlignment="1">
      <alignment horizontal="center"/>
    </xf>
    <xf numFmtId="0" fontId="1" fillId="7" borderId="15" xfId="0" quotePrefix="1" applyFont="1" applyFill="1" applyBorder="1" applyAlignment="1">
      <alignment horizontal="center"/>
    </xf>
    <xf numFmtId="0" fontId="0" fillId="7" borderId="16" xfId="0" applyFill="1" applyBorder="1" applyAlignment="1">
      <alignment horizontal="center"/>
    </xf>
    <xf numFmtId="164" fontId="0" fillId="8" borderId="15" xfId="0" applyNumberFormat="1" applyFill="1" applyBorder="1" applyAlignment="1">
      <alignment horizontal="center"/>
    </xf>
    <xf numFmtId="164" fontId="0" fillId="8" borderId="45" xfId="0" applyNumberFormat="1" applyFill="1" applyBorder="1" applyAlignment="1">
      <alignment horizontal="center"/>
    </xf>
    <xf numFmtId="0" fontId="1" fillId="7" borderId="8" xfId="0" quotePrefix="1" applyFont="1" applyFill="1" applyBorder="1" applyAlignment="1">
      <alignment horizontal="center"/>
    </xf>
    <xf numFmtId="164" fontId="0" fillId="0" borderId="4" xfId="0" applyNumberFormat="1" applyBorder="1" applyAlignment="1">
      <alignment horizontal="center"/>
    </xf>
    <xf numFmtId="164" fontId="0" fillId="7" borderId="3" xfId="0" applyNumberFormat="1" applyFill="1" applyBorder="1" applyAlignment="1">
      <alignment horizontal="center" vertical="center" wrapText="1"/>
    </xf>
    <xf numFmtId="164" fontId="0" fillId="7" borderId="14" xfId="0" applyNumberFormat="1" applyFill="1" applyBorder="1" applyAlignment="1">
      <alignment horizontal="center" vertical="center" wrapText="1"/>
    </xf>
    <xf numFmtId="164" fontId="0" fillId="7" borderId="15" xfId="0" applyNumberFormat="1" applyFill="1" applyBorder="1" applyAlignment="1">
      <alignment horizontal="center" vertical="center" wrapText="1"/>
    </xf>
    <xf numFmtId="164" fontId="0" fillId="7" borderId="45" xfId="0" applyNumberFormat="1" applyFill="1" applyBorder="1" applyAlignment="1">
      <alignment horizontal="center" vertical="center" wrapText="1"/>
    </xf>
    <xf numFmtId="0" fontId="3" fillId="0" borderId="2" xfId="0" applyFont="1" applyBorder="1" applyAlignment="1">
      <alignment vertical="center" wrapText="1"/>
    </xf>
    <xf numFmtId="0" fontId="1" fillId="0" borderId="17" xfId="0" applyFont="1" applyBorder="1" applyAlignment="1"/>
    <xf numFmtId="0" fontId="1" fillId="0" borderId="16" xfId="0" applyFont="1" applyBorder="1" applyAlignment="1"/>
    <xf numFmtId="0" fontId="1" fillId="0" borderId="4" xfId="0" quotePrefix="1" applyFont="1" applyBorder="1" applyAlignment="1">
      <alignment horizontal="center"/>
    </xf>
    <xf numFmtId="0" fontId="0" fillId="0" borderId="4" xfId="0" applyBorder="1" applyAlignment="1">
      <alignment horizontal="center"/>
    </xf>
    <xf numFmtId="0" fontId="3" fillId="0" borderId="2" xfId="0" applyFont="1" applyBorder="1" applyAlignment="1">
      <alignment horizontal="center"/>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31" xfId="0" quotePrefix="1" applyFont="1" applyBorder="1" applyAlignment="1">
      <alignment horizontal="center"/>
    </xf>
    <xf numFmtId="0" fontId="1" fillId="0" borderId="35" xfId="0" quotePrefix="1" applyFont="1" applyBorder="1" applyAlignment="1">
      <alignment horizontal="center"/>
    </xf>
    <xf numFmtId="0" fontId="1" fillId="0" borderId="19" xfId="0" applyFont="1" applyBorder="1"/>
    <xf numFmtId="0" fontId="1" fillId="0" borderId="11" xfId="0" applyFont="1" applyBorder="1"/>
    <xf numFmtId="0" fontId="1" fillId="0" borderId="32" xfId="0" applyFont="1" applyBorder="1" applyAlignment="1">
      <alignment vertical="top"/>
    </xf>
    <xf numFmtId="0" fontId="1" fillId="0" borderId="19" xfId="0" applyFont="1" applyBorder="1" applyAlignment="1">
      <alignment vertical="top"/>
    </xf>
    <xf numFmtId="0" fontId="1" fillId="0" borderId="20" xfId="0" applyFont="1" applyBorder="1"/>
    <xf numFmtId="0" fontId="1" fillId="0" borderId="32" xfId="0" applyFont="1" applyBorder="1"/>
    <xf numFmtId="0" fontId="1" fillId="0" borderId="37" xfId="0" applyFont="1" applyBorder="1"/>
    <xf numFmtId="0" fontId="3" fillId="0" borderId="11" xfId="0" applyFont="1" applyBorder="1" applyAlignment="1">
      <alignment horizontal="center"/>
    </xf>
    <xf numFmtId="0" fontId="0" fillId="0" borderId="2" xfId="0" applyBorder="1"/>
    <xf numFmtId="0" fontId="1" fillId="0" borderId="17" xfId="0" applyFont="1" applyFill="1" applyBorder="1"/>
    <xf numFmtId="0" fontId="1" fillId="0" borderId="2" xfId="0" applyFont="1" applyFill="1" applyBorder="1"/>
    <xf numFmtId="0" fontId="1" fillId="0" borderId="6" xfId="0" applyFont="1" applyFill="1" applyBorder="1"/>
    <xf numFmtId="0" fontId="1" fillId="0" borderId="11" xfId="0" applyFont="1" applyFill="1" applyBorder="1"/>
    <xf numFmtId="0" fontId="3" fillId="0" borderId="20"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1" fillId="0" borderId="13" xfId="0" applyFont="1" applyBorder="1"/>
    <xf numFmtId="164" fontId="0" fillId="0" borderId="11" xfId="0" applyNumberForma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164" fontId="0" fillId="0" borderId="26"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3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9" xfId="0" applyFont="1" applyBorder="1" applyAlignment="1">
      <alignment vertical="center"/>
    </xf>
    <xf numFmtId="0" fontId="1" fillId="0" borderId="33" xfId="0" applyFont="1" applyFill="1" applyBorder="1"/>
    <xf numFmtId="0" fontId="1" fillId="0" borderId="26" xfId="0" applyFont="1" applyFill="1" applyBorder="1"/>
    <xf numFmtId="0" fontId="1" fillId="0" borderId="14" xfId="0" applyFont="1" applyFill="1" applyBorder="1" applyAlignment="1">
      <alignment horizontal="left" indent="3"/>
    </xf>
    <xf numFmtId="0" fontId="0" fillId="0" borderId="14" xfId="0" applyBorder="1" applyAlignment="1">
      <alignment horizontal="left" indent="3"/>
    </xf>
    <xf numFmtId="0" fontId="0" fillId="0" borderId="17" xfId="0" applyBorder="1" applyAlignment="1">
      <alignment horizontal="left" indent="3"/>
    </xf>
    <xf numFmtId="0" fontId="1" fillId="0" borderId="3" xfId="0" quotePrefix="1" applyFont="1" applyFill="1" applyBorder="1" applyAlignment="1">
      <alignment horizontal="center"/>
    </xf>
    <xf numFmtId="164" fontId="1" fillId="0" borderId="15" xfId="0" quotePrefix="1" applyNumberFormat="1" applyFont="1" applyBorder="1" applyAlignment="1">
      <alignment horizontal="center"/>
    </xf>
    <xf numFmtId="2" fontId="0" fillId="0" borderId="17" xfId="0" applyNumberFormat="1" applyBorder="1" applyAlignment="1">
      <alignment horizontal="center"/>
    </xf>
    <xf numFmtId="0" fontId="3" fillId="7" borderId="3" xfId="0" applyFont="1" applyFill="1" applyBorder="1" applyAlignment="1">
      <alignment horizontal="center" vertical="center" wrapText="1"/>
    </xf>
    <xf numFmtId="0" fontId="1" fillId="7" borderId="3" xfId="0" applyFont="1" applyFill="1" applyBorder="1" applyAlignment="1">
      <alignment horizontal="center"/>
    </xf>
    <xf numFmtId="0" fontId="3" fillId="0" borderId="30" xfId="0" applyFont="1" applyBorder="1" applyAlignment="1">
      <alignment horizontal="center"/>
    </xf>
    <xf numFmtId="166" fontId="0" fillId="7" borderId="3" xfId="0" applyNumberFormat="1" applyFill="1" applyBorder="1" applyAlignment="1">
      <alignment horizontal="center"/>
    </xf>
    <xf numFmtId="0" fontId="1" fillId="0" borderId="13" xfId="0" applyFont="1" applyBorder="1" applyAlignment="1">
      <alignment vertical="top"/>
    </xf>
    <xf numFmtId="0" fontId="1" fillId="0" borderId="12" xfId="0" applyFont="1" applyBorder="1" applyAlignment="1">
      <alignment vertical="top"/>
    </xf>
    <xf numFmtId="0" fontId="1" fillId="0" borderId="7" xfId="0" applyFont="1" applyBorder="1" applyAlignment="1">
      <alignment vertical="top"/>
    </xf>
    <xf numFmtId="0" fontId="3" fillId="0" borderId="38" xfId="0" applyFont="1" applyBorder="1" applyAlignment="1">
      <alignment vertical="center" wrapText="1"/>
    </xf>
    <xf numFmtId="0" fontId="0" fillId="0" borderId="38"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164" fontId="0" fillId="7" borderId="15" xfId="0" applyNumberFormat="1" applyFill="1" applyBorder="1" applyAlignment="1">
      <alignment horizontal="center"/>
    </xf>
    <xf numFmtId="164" fontId="0" fillId="7" borderId="45" xfId="0" applyNumberFormat="1" applyFill="1" applyBorder="1" applyAlignment="1">
      <alignment horizontal="center"/>
    </xf>
    <xf numFmtId="166" fontId="0" fillId="7" borderId="15" xfId="0" applyNumberFormat="1" applyFill="1" applyBorder="1" applyAlignment="1">
      <alignment horizontal="center"/>
    </xf>
    <xf numFmtId="167" fontId="0" fillId="0" borderId="3" xfId="0" applyNumberFormat="1" applyBorder="1" applyAlignment="1">
      <alignment horizontal="center"/>
    </xf>
    <xf numFmtId="167" fontId="0" fillId="0" borderId="17" xfId="0" applyNumberFormat="1" applyBorder="1" applyAlignment="1">
      <alignment horizontal="center"/>
    </xf>
    <xf numFmtId="164" fontId="0" fillId="7" borderId="14" xfId="0" applyNumberFormat="1" applyFill="1" applyBorder="1" applyAlignment="1">
      <alignment horizontal="center"/>
    </xf>
    <xf numFmtId="0" fontId="3" fillId="0" borderId="30" xfId="0" applyFont="1" applyBorder="1" applyAlignment="1">
      <alignment horizontal="center" vertical="center" wrapText="1"/>
    </xf>
    <xf numFmtId="0" fontId="0" fillId="0" borderId="30" xfId="0" applyBorder="1" applyAlignment="1">
      <alignment horizontal="center" vertical="center" wrapText="1"/>
    </xf>
    <xf numFmtId="0" fontId="1" fillId="0" borderId="17" xfId="0" applyFont="1" applyBorder="1" applyAlignment="1">
      <alignment horizontal="center"/>
    </xf>
    <xf numFmtId="2" fontId="0" fillId="0" borderId="16" xfId="0" applyNumberFormat="1" applyBorder="1" applyAlignment="1">
      <alignment horizontal="center"/>
    </xf>
    <xf numFmtId="0" fontId="3" fillId="0" borderId="2" xfId="0" applyFont="1" applyBorder="1" applyAlignment="1">
      <alignment horizontal="center" vertical="center"/>
    </xf>
    <xf numFmtId="0" fontId="1" fillId="0" borderId="45" xfId="0" applyFont="1" applyBorder="1" applyAlignment="1">
      <alignment vertical="center"/>
    </xf>
    <xf numFmtId="0" fontId="0" fillId="0" borderId="45" xfId="0" applyBorder="1" applyAlignment="1">
      <alignment vertical="center"/>
    </xf>
    <xf numFmtId="0" fontId="3" fillId="0" borderId="38" xfId="0" applyFont="1"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wrapText="1"/>
    </xf>
    <xf numFmtId="164" fontId="0" fillId="9" borderId="20" xfId="0" applyNumberFormat="1" applyFill="1" applyBorder="1" applyAlignment="1">
      <alignment horizontal="center" vertical="center"/>
    </xf>
    <xf numFmtId="164" fontId="0" fillId="9" borderId="29" xfId="0" applyNumberFormat="1" applyFill="1" applyBorder="1" applyAlignment="1">
      <alignment horizontal="center" vertical="center"/>
    </xf>
    <xf numFmtId="164" fontId="0" fillId="9" borderId="13" xfId="0" applyNumberFormat="1" applyFill="1" applyBorder="1" applyAlignment="1">
      <alignment horizontal="center" vertical="center"/>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7" borderId="1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19" xfId="0" applyFont="1" applyFill="1" applyBorder="1" applyAlignment="1">
      <alignment horizontal="center" vertical="center" wrapText="1"/>
    </xf>
    <xf numFmtId="164" fontId="0" fillId="7" borderId="32" xfId="0" applyNumberFormat="1" applyFill="1" applyBorder="1" applyAlignment="1">
      <alignment horizontal="center" vertical="center"/>
    </xf>
    <xf numFmtId="0" fontId="0" fillId="7" borderId="28" xfId="0" applyFill="1" applyBorder="1" applyAlignment="1">
      <alignment horizontal="center" vertical="center"/>
    </xf>
    <xf numFmtId="2" fontId="0" fillId="0" borderId="32" xfId="0" applyNumberFormat="1" applyBorder="1" applyAlignment="1">
      <alignment horizontal="center" vertical="center"/>
    </xf>
    <xf numFmtId="2" fontId="0" fillId="0" borderId="20" xfId="0" applyNumberForma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3" fillId="9" borderId="3" xfId="0" applyFont="1" applyFill="1" applyBorder="1" applyAlignment="1">
      <alignment horizontal="center" wrapText="1"/>
    </xf>
    <xf numFmtId="0" fontId="0" fillId="0" borderId="14" xfId="0" applyBorder="1" applyAlignment="1">
      <alignment horizontal="center"/>
    </xf>
    <xf numFmtId="0" fontId="1"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0" borderId="7" xfId="0" applyBorder="1" applyAlignment="1">
      <alignment horizontal="center" vertical="center" wrapText="1"/>
    </xf>
    <xf numFmtId="164" fontId="0" fillId="7" borderId="11" xfId="0" applyNumberFormat="1" applyFill="1" applyBorder="1" applyAlignment="1">
      <alignment horizontal="center" vertical="center"/>
    </xf>
    <xf numFmtId="0" fontId="0" fillId="7" borderId="19" xfId="0" applyFill="1" applyBorder="1" applyAlignment="1">
      <alignment horizontal="center" vertical="center"/>
    </xf>
    <xf numFmtId="2" fontId="3" fillId="0" borderId="20" xfId="0" applyNumberFormat="1" applyFont="1" applyFill="1" applyBorder="1" applyAlignment="1">
      <alignment horizontal="center" vertical="top" wrapText="1"/>
    </xf>
    <xf numFmtId="0" fontId="0" fillId="0" borderId="38" xfId="0" applyBorder="1" applyAlignment="1">
      <alignment horizontal="center" vertical="top" wrapText="1"/>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7" xfId="0" applyBorder="1" applyAlignment="1">
      <alignment wrapText="1"/>
    </xf>
    <xf numFmtId="0" fontId="3" fillId="0" borderId="20" xfId="0" applyFont="1" applyBorder="1" applyAlignment="1">
      <alignment horizontal="center" vertical="top" wrapText="1"/>
    </xf>
    <xf numFmtId="0" fontId="3" fillId="7" borderId="11" xfId="0" applyFont="1" applyFill="1" applyBorder="1" applyAlignment="1">
      <alignment horizontal="center" wrapText="1"/>
    </xf>
    <xf numFmtId="0" fontId="0" fillId="0" borderId="0" xfId="0" applyBorder="1" applyAlignment="1">
      <alignment vertical="center" wrapText="1"/>
    </xf>
    <xf numFmtId="0" fontId="1" fillId="0" borderId="19" xfId="0" applyFont="1" applyBorder="1" applyAlignment="1">
      <alignment horizontal="center" vertical="center"/>
    </xf>
    <xf numFmtId="0" fontId="1" fillId="0" borderId="39" xfId="0" quotePrefix="1" applyFont="1" applyBorder="1" applyAlignment="1">
      <alignment horizontal="center"/>
    </xf>
    <xf numFmtId="0" fontId="0" fillId="0" borderId="36" xfId="0" applyBorder="1" applyAlignment="1"/>
    <xf numFmtId="0" fontId="0" fillId="0" borderId="35" xfId="0" quotePrefix="1" applyBorder="1" applyAlignment="1">
      <alignment horizontal="center"/>
    </xf>
    <xf numFmtId="2" fontId="0" fillId="7" borderId="16" xfId="0" applyNumberFormat="1" applyFill="1" applyBorder="1" applyAlignment="1"/>
    <xf numFmtId="0" fontId="0" fillId="7" borderId="3" xfId="0" applyFill="1" applyBorder="1" applyAlignment="1">
      <alignment horizontal="center"/>
    </xf>
    <xf numFmtId="0" fontId="1" fillId="0" borderId="42" xfId="0" applyFont="1" applyBorder="1" applyAlignment="1">
      <alignment horizontal="left" indent="3"/>
    </xf>
    <xf numFmtId="0" fontId="0" fillId="0" borderId="42" xfId="0" applyBorder="1" applyAlignment="1">
      <alignment horizontal="left" indent="3"/>
    </xf>
    <xf numFmtId="0" fontId="0" fillId="0" borderId="41" xfId="0" applyBorder="1" applyAlignment="1">
      <alignment horizontal="left" indent="3"/>
    </xf>
    <xf numFmtId="1" fontId="0" fillId="0" borderId="40" xfId="0" applyNumberFormat="1" applyBorder="1" applyAlignment="1">
      <alignment horizontal="center"/>
    </xf>
    <xf numFmtId="1" fontId="0" fillId="0" borderId="41" xfId="0" applyNumberFormat="1" applyBorder="1" applyAlignment="1"/>
    <xf numFmtId="1" fontId="0" fillId="2" borderId="40" xfId="0" applyNumberFormat="1" applyFill="1" applyBorder="1" applyAlignment="1">
      <alignment horizontal="center"/>
    </xf>
    <xf numFmtId="1" fontId="0" fillId="2" borderId="42" xfId="0" applyNumberFormat="1" applyFill="1" applyBorder="1" applyAlignment="1"/>
    <xf numFmtId="0" fontId="1" fillId="7" borderId="34" xfId="0" quotePrefix="1" applyFont="1" applyFill="1" applyBorder="1" applyAlignment="1">
      <alignment horizontal="center"/>
    </xf>
    <xf numFmtId="0" fontId="1" fillId="0" borderId="14" xfId="0" applyFont="1" applyBorder="1" applyAlignment="1">
      <alignment horizontal="left" indent="3"/>
    </xf>
    <xf numFmtId="0" fontId="0" fillId="0" borderId="47" xfId="0" applyBorder="1" applyAlignment="1"/>
    <xf numFmtId="2" fontId="0" fillId="0" borderId="3" xfId="0" quotePrefix="1" applyNumberFormat="1" applyBorder="1" applyAlignment="1">
      <alignment horizontal="center"/>
    </xf>
    <xf numFmtId="2" fontId="0" fillId="0" borderId="17" xfId="0" applyNumberFormat="1" applyBorder="1" applyAlignment="1"/>
    <xf numFmtId="2" fontId="0" fillId="2" borderId="3" xfId="0" applyNumberFormat="1" applyFill="1" applyBorder="1" applyAlignment="1">
      <alignment horizontal="center"/>
    </xf>
    <xf numFmtId="2" fontId="0" fillId="2" borderId="14" xfId="0" applyNumberFormat="1" applyFill="1" applyBorder="1" applyAlignment="1"/>
    <xf numFmtId="0" fontId="1" fillId="3" borderId="20" xfId="0" applyFont="1" applyFill="1" applyBorder="1" applyAlignment="1">
      <alignment horizontal="center"/>
    </xf>
    <xf numFmtId="3" fontId="0" fillId="2" borderId="20" xfId="0" applyNumberFormat="1" applyFill="1" applyBorder="1" applyAlignment="1">
      <alignment horizontal="center"/>
    </xf>
    <xf numFmtId="3" fontId="0" fillId="2" borderId="38" xfId="0" applyNumberFormat="1" applyFill="1" applyBorder="1" applyAlignment="1"/>
    <xf numFmtId="0" fontId="3" fillId="0" borderId="17" xfId="0" applyFont="1" applyFill="1" applyBorder="1" applyAlignment="1">
      <alignment horizontal="center"/>
    </xf>
    <xf numFmtId="0" fontId="3" fillId="0" borderId="2" xfId="0" applyFont="1" applyFill="1" applyBorder="1" applyAlignment="1">
      <alignment horizontal="center"/>
    </xf>
    <xf numFmtId="0" fontId="1" fillId="0" borderId="14" xfId="0" applyFont="1" applyFill="1" applyBorder="1" applyAlignment="1">
      <alignment horizontal="left"/>
    </xf>
    <xf numFmtId="0" fontId="1" fillId="0" borderId="14" xfId="0" applyFont="1" applyFill="1" applyBorder="1" applyAlignment="1">
      <alignment horizontal="left" vertical="top"/>
    </xf>
    <xf numFmtId="0" fontId="1" fillId="0" borderId="17" xfId="0" applyFont="1" applyFill="1" applyBorder="1" applyAlignment="1">
      <alignment horizontal="left" vertical="top"/>
    </xf>
    <xf numFmtId="164" fontId="0" fillId="0" borderId="45" xfId="0" applyNumberFormat="1" applyBorder="1" applyAlignment="1">
      <alignment horizontal="center"/>
    </xf>
    <xf numFmtId="164" fontId="0" fillId="0" borderId="14" xfId="0" applyNumberFormat="1" applyBorder="1" applyAlignment="1">
      <alignment horizontal="center"/>
    </xf>
    <xf numFmtId="49" fontId="1" fillId="0" borderId="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37" xfId="0" quotePrefix="1" applyFont="1" applyFill="1" applyBorder="1" applyAlignment="1">
      <alignment horizontal="center"/>
    </xf>
    <xf numFmtId="0" fontId="1" fillId="0" borderId="0" xfId="0" quotePrefix="1" applyFont="1" applyFill="1" applyBorder="1" applyAlignment="1">
      <alignment horizontal="center"/>
    </xf>
    <xf numFmtId="164" fontId="1" fillId="0" borderId="3" xfId="0" applyNumberFormat="1" applyFont="1" applyFill="1" applyBorder="1" applyAlignment="1">
      <alignment horizontal="center"/>
    </xf>
    <xf numFmtId="164" fontId="1" fillId="0" borderId="17" xfId="0" applyNumberFormat="1" applyFont="1" applyFill="1" applyBorder="1" applyAlignment="1">
      <alignment horizontal="center"/>
    </xf>
    <xf numFmtId="164" fontId="1" fillId="0" borderId="14" xfId="0" applyNumberFormat="1" applyFont="1" applyFill="1" applyBorder="1" applyAlignment="1">
      <alignment horizontal="center"/>
    </xf>
    <xf numFmtId="0" fontId="3" fillId="0" borderId="18" xfId="0" applyFont="1" applyFill="1" applyBorder="1" applyAlignment="1">
      <alignment horizontal="center" vertical="top" wrapText="1"/>
    </xf>
    <xf numFmtId="0" fontId="0" fillId="0" borderId="18" xfId="0" applyBorder="1" applyAlignment="1">
      <alignment horizontal="center" wrapText="1"/>
    </xf>
    <xf numFmtId="0" fontId="0" fillId="0" borderId="44" xfId="0" applyBorder="1" applyAlignment="1">
      <alignment horizontal="center" wrapText="1"/>
    </xf>
    <xf numFmtId="2" fontId="1" fillId="0" borderId="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38" xfId="0" applyFont="1" applyFill="1" applyBorder="1" applyAlignment="1">
      <alignment horizontal="left" vertical="top"/>
    </xf>
    <xf numFmtId="0" fontId="0" fillId="0" borderId="6" xfId="0" applyBorder="1" applyAlignment="1">
      <alignment vertical="top"/>
    </xf>
    <xf numFmtId="0" fontId="0" fillId="0" borderId="12" xfId="0" applyBorder="1" applyAlignment="1">
      <alignment vertical="top"/>
    </xf>
    <xf numFmtId="0" fontId="0" fillId="0" borderId="7" xfId="0" applyBorder="1" applyAlignment="1">
      <alignment vertical="top"/>
    </xf>
    <xf numFmtId="164" fontId="3" fillId="0" borderId="3" xfId="0" applyNumberFormat="1" applyFont="1" applyFill="1" applyBorder="1" applyAlignment="1">
      <alignment horizontal="center"/>
    </xf>
    <xf numFmtId="164" fontId="3" fillId="0" borderId="17" xfId="0" applyNumberFormat="1" applyFont="1" applyFill="1" applyBorder="1" applyAlignment="1">
      <alignment horizontal="center"/>
    </xf>
    <xf numFmtId="0" fontId="1" fillId="0" borderId="13" xfId="0" quotePrefix="1" applyFont="1" applyFill="1" applyBorder="1" applyAlignment="1">
      <alignment horizontal="center"/>
    </xf>
    <xf numFmtId="0" fontId="1" fillId="0" borderId="7" xfId="0" quotePrefix="1" applyFont="1" applyFill="1" applyBorder="1" applyAlignment="1">
      <alignment horizontal="center"/>
    </xf>
    <xf numFmtId="164" fontId="0" fillId="0" borderId="3" xfId="0" applyNumberFormat="1" applyFill="1" applyBorder="1" applyAlignment="1">
      <alignment horizontal="center" vertical="center"/>
    </xf>
    <xf numFmtId="164" fontId="0" fillId="0" borderId="17" xfId="0" applyNumberFormat="1" applyFill="1" applyBorder="1" applyAlignment="1">
      <alignment horizontal="center" vertical="center"/>
    </xf>
    <xf numFmtId="0" fontId="1" fillId="0" borderId="43" xfId="0" applyFont="1" applyFill="1" applyBorder="1" applyAlignment="1">
      <alignment horizontal="left" vertical="center"/>
    </xf>
    <xf numFmtId="0" fontId="0" fillId="0" borderId="28" xfId="0" applyBorder="1" applyAlignment="1">
      <alignment vertical="center"/>
    </xf>
    <xf numFmtId="0" fontId="3" fillId="0" borderId="14" xfId="0" applyFont="1" applyFill="1" applyBorder="1" applyAlignment="1">
      <alignment horizontal="left" wrapText="1"/>
    </xf>
    <xf numFmtId="0" fontId="0" fillId="0" borderId="17" xfId="0" applyBorder="1" applyAlignment="1">
      <alignment wrapText="1"/>
    </xf>
    <xf numFmtId="0" fontId="1" fillId="0" borderId="12" xfId="0" quotePrefix="1" applyFont="1" applyFill="1" applyBorder="1" applyAlignment="1">
      <alignment horizontal="center"/>
    </xf>
    <xf numFmtId="0" fontId="0" fillId="0" borderId="6" xfId="0" applyBorder="1" applyAlignment="1">
      <alignment horizontal="left" vertical="top"/>
    </xf>
    <xf numFmtId="0" fontId="0" fillId="0" borderId="44" xfId="0" applyBorder="1" applyAlignment="1">
      <alignment horizontal="left" vertical="top"/>
    </xf>
    <xf numFmtId="0" fontId="0" fillId="0" borderId="43" xfId="0" applyBorder="1" applyAlignment="1">
      <alignment horizontal="left" vertical="top"/>
    </xf>
    <xf numFmtId="2" fontId="1" fillId="0" borderId="17" xfId="0" applyNumberFormat="1" applyFont="1" applyFill="1" applyBorder="1" applyAlignment="1">
      <alignment horizontal="center" vertical="center"/>
    </xf>
    <xf numFmtId="164" fontId="0" fillId="0" borderId="17" xfId="0" applyNumberFormat="1" applyFill="1" applyBorder="1" applyAlignment="1">
      <alignment horizontal="center"/>
    </xf>
    <xf numFmtId="164" fontId="0" fillId="0" borderId="16" xfId="0" applyNumberFormat="1" applyFill="1" applyBorder="1" applyAlignment="1">
      <alignment horizontal="center"/>
    </xf>
    <xf numFmtId="164" fontId="0" fillId="0" borderId="14" xfId="0" applyNumberFormat="1" applyFill="1" applyBorder="1" applyAlignment="1">
      <alignment horizontal="center" vertical="center"/>
    </xf>
    <xf numFmtId="0" fontId="3" fillId="0" borderId="18" xfId="0" applyFont="1" applyBorder="1" applyAlignment="1">
      <alignment horizontal="center" vertical="top" wrapText="1"/>
    </xf>
    <xf numFmtId="0" fontId="3" fillId="0" borderId="44" xfId="0" applyFont="1" applyBorder="1" applyAlignment="1">
      <alignment horizontal="center" vertical="top" wrapText="1"/>
    </xf>
    <xf numFmtId="0" fontId="1" fillId="0" borderId="34" xfId="0" quotePrefix="1" applyFont="1" applyFill="1" applyBorder="1" applyAlignment="1">
      <alignment horizontal="center"/>
    </xf>
    <xf numFmtId="164" fontId="0" fillId="0" borderId="15" xfId="0" applyNumberFormat="1" applyFill="1" applyBorder="1" applyAlignment="1">
      <alignment horizontal="center" vertical="center"/>
    </xf>
    <xf numFmtId="164" fontId="0" fillId="0" borderId="16" xfId="0" applyNumberFormat="1" applyFill="1" applyBorder="1" applyAlignment="1">
      <alignment horizontal="center" vertical="center"/>
    </xf>
    <xf numFmtId="2" fontId="1" fillId="0" borderId="3" xfId="0" quotePrefix="1" applyNumberFormat="1" applyFont="1" applyFill="1" applyBorder="1" applyAlignment="1">
      <alignment horizontal="center" vertical="center"/>
    </xf>
    <xf numFmtId="0" fontId="1" fillId="0" borderId="3" xfId="0" applyFont="1" applyFill="1" applyBorder="1" applyAlignment="1">
      <alignment horizontal="center" vertical="top" wrapText="1"/>
    </xf>
    <xf numFmtId="0" fontId="0" fillId="0" borderId="15" xfId="0" applyBorder="1" applyAlignment="1">
      <alignment horizontal="center" vertical="top" wrapText="1"/>
    </xf>
    <xf numFmtId="0" fontId="3" fillId="0" borderId="46" xfId="0" applyFont="1" applyFill="1" applyBorder="1" applyAlignment="1">
      <alignment horizontal="center"/>
    </xf>
    <xf numFmtId="0" fontId="3" fillId="0" borderId="2" xfId="0" applyFont="1" applyFill="1" applyBorder="1" applyAlignment="1">
      <alignment horizontal="center" vertical="top" wrapText="1"/>
    </xf>
    <xf numFmtId="0" fontId="0" fillId="0" borderId="2" xfId="0" applyBorder="1" applyAlignment="1">
      <alignment vertical="top" wrapText="1"/>
    </xf>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0" fillId="0" borderId="3" xfId="0" applyBorder="1" applyAlignment="1">
      <alignment vertical="top" wrapText="1"/>
    </xf>
    <xf numFmtId="0" fontId="1" fillId="0" borderId="2" xfId="0" applyFont="1" applyFill="1" applyBorder="1" applyAlignment="1">
      <alignment horizontal="center" vertical="top" wrapText="1"/>
    </xf>
    <xf numFmtId="0" fontId="0" fillId="0" borderId="4" xfId="0" applyBorder="1" applyAlignment="1">
      <alignment vertical="top" wrapText="1"/>
    </xf>
    <xf numFmtId="0" fontId="3" fillId="0" borderId="14" xfId="0" applyFont="1" applyFill="1" applyBorder="1" applyAlignment="1">
      <alignment horizontal="left"/>
    </xf>
    <xf numFmtId="0" fontId="3" fillId="0" borderId="38" xfId="0" applyFont="1" applyFill="1" applyBorder="1" applyAlignment="1">
      <alignment horizontal="left" vertical="center" wrapText="1"/>
    </xf>
    <xf numFmtId="0" fontId="3" fillId="0" borderId="6" xfId="0" applyFont="1"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3" fillId="0" borderId="20" xfId="0" applyFont="1" applyFill="1" applyBorder="1" applyAlignment="1">
      <alignment horizontal="center"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0" fillId="0" borderId="13" xfId="0" applyBorder="1" applyAlignment="1">
      <alignment vertical="center" wrapText="1"/>
    </xf>
    <xf numFmtId="0" fontId="0" fillId="0" borderId="18" xfId="0" applyBorder="1" applyAlignment="1">
      <alignment horizontal="center" vertical="top" wrapText="1"/>
    </xf>
    <xf numFmtId="0" fontId="0" fillId="0" borderId="44" xfId="0" applyBorder="1" applyAlignment="1">
      <alignment horizontal="center" vertical="top" wrapText="1"/>
    </xf>
    <xf numFmtId="0" fontId="1" fillId="0" borderId="33" xfId="0" applyFont="1" applyFill="1" applyBorder="1" applyAlignment="1">
      <alignment horizontal="right"/>
    </xf>
    <xf numFmtId="0" fontId="1" fillId="0" borderId="26" xfId="0" applyFont="1" applyFill="1" applyBorder="1" applyAlignment="1">
      <alignment horizontal="right"/>
    </xf>
    <xf numFmtId="0" fontId="1" fillId="0" borderId="49" xfId="0" applyFont="1" applyFill="1" applyBorder="1" applyAlignment="1">
      <alignment horizontal="left" vertical="top"/>
    </xf>
    <xf numFmtId="0" fontId="1" fillId="0" borderId="48" xfId="0" applyFont="1" applyFill="1" applyBorder="1" applyAlignment="1">
      <alignment horizontal="left" vertical="top"/>
    </xf>
    <xf numFmtId="0" fontId="3" fillId="0" borderId="38" xfId="0" applyFont="1" applyFill="1" applyBorder="1" applyAlignment="1">
      <alignment horizontal="center"/>
    </xf>
    <xf numFmtId="0" fontId="1" fillId="0" borderId="52" xfId="0" applyFont="1" applyFill="1" applyBorder="1" applyAlignment="1">
      <alignment horizontal="right" vertical="top"/>
    </xf>
    <xf numFmtId="0" fontId="1" fillId="0" borderId="51" xfId="0" applyFont="1" applyFill="1" applyBorder="1" applyAlignment="1">
      <alignment horizontal="right" vertical="top"/>
    </xf>
    <xf numFmtId="0" fontId="1" fillId="0" borderId="25" xfId="0" applyFont="1" applyFill="1" applyBorder="1" applyAlignment="1">
      <alignment horizontal="right"/>
    </xf>
    <xf numFmtId="0" fontId="1" fillId="0" borderId="50" xfId="0" applyFont="1" applyFill="1" applyBorder="1" applyAlignment="1">
      <alignment horizontal="right"/>
    </xf>
    <xf numFmtId="0" fontId="1" fillId="0" borderId="45" xfId="0" applyFont="1" applyFill="1" applyBorder="1" applyAlignment="1">
      <alignment horizontal="left" vertical="center"/>
    </xf>
    <xf numFmtId="0" fontId="1" fillId="0" borderId="16" xfId="0" applyFont="1" applyFill="1" applyBorder="1" applyAlignment="1">
      <alignment horizontal="left" vertical="center"/>
    </xf>
    <xf numFmtId="0" fontId="1" fillId="0" borderId="2" xfId="0" applyFont="1" applyFill="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top" wrapText="1"/>
    </xf>
    <xf numFmtId="0" fontId="3" fillId="0" borderId="2" xfId="0" applyFont="1" applyFill="1" applyBorder="1" applyAlignment="1">
      <alignment horizontal="center" wrapText="1"/>
    </xf>
    <xf numFmtId="0" fontId="3" fillId="0" borderId="2" xfId="0" applyFont="1" applyBorder="1" applyAlignment="1">
      <alignment wrapText="1"/>
    </xf>
    <xf numFmtId="0" fontId="3" fillId="0" borderId="38" xfId="0" applyFont="1" applyFill="1" applyBorder="1" applyAlignment="1">
      <alignment horizontal="left" vertical="center"/>
    </xf>
    <xf numFmtId="0" fontId="0" fillId="0" borderId="0"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3" fillId="0" borderId="4" xfId="0" applyFont="1" applyBorder="1" applyAlignment="1">
      <alignment horizontal="center" wrapText="1"/>
    </xf>
    <xf numFmtId="0" fontId="1" fillId="0" borderId="4" xfId="0" applyFont="1" applyFill="1" applyBorder="1" applyAlignment="1">
      <alignment horizontal="center" wrapText="1"/>
    </xf>
    <xf numFmtId="0" fontId="1" fillId="0" borderId="16" xfId="0" applyFont="1" applyFill="1" applyBorder="1" applyAlignment="1">
      <alignment horizontal="left"/>
    </xf>
    <xf numFmtId="0" fontId="3" fillId="0" borderId="12" xfId="0" applyFont="1" applyFill="1" applyBorder="1" applyAlignment="1">
      <alignment horizontal="left"/>
    </xf>
    <xf numFmtId="0" fontId="0" fillId="3" borderId="19" xfId="0" applyFill="1" applyBorder="1" applyAlignment="1">
      <alignment horizontal="center" vertical="center"/>
    </xf>
    <xf numFmtId="0" fontId="0" fillId="3" borderId="11" xfId="0" applyFill="1" applyBorder="1" applyAlignment="1">
      <alignment horizontal="center" vertical="center"/>
    </xf>
    <xf numFmtId="0" fontId="3" fillId="0" borderId="1" xfId="0" applyFont="1" applyFill="1" applyBorder="1" applyAlignment="1">
      <alignment horizontal="center"/>
    </xf>
    <xf numFmtId="0" fontId="0" fillId="0" borderId="8" xfId="0" applyBorder="1" applyAlignment="1">
      <alignment horizontal="center"/>
    </xf>
    <xf numFmtId="0" fontId="0" fillId="0" borderId="3" xfId="0" applyFill="1" applyBorder="1" applyAlignment="1">
      <alignment horizontal="center"/>
    </xf>
    <xf numFmtId="164" fontId="0" fillId="4" borderId="3" xfId="0" applyNumberFormat="1" applyFill="1" applyBorder="1" applyAlignment="1">
      <alignment horizontal="center"/>
    </xf>
    <xf numFmtId="164" fontId="0" fillId="4" borderId="17" xfId="0" applyNumberFormat="1"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164" fontId="0" fillId="4" borderId="45" xfId="0" applyNumberFormat="1" applyFill="1" applyBorder="1" applyAlignment="1">
      <alignment horizontal="center"/>
    </xf>
    <xf numFmtId="164" fontId="1" fillId="0" borderId="16" xfId="0" applyNumberFormat="1" applyFont="1" applyBorder="1" applyAlignment="1">
      <alignment horizontal="center"/>
    </xf>
    <xf numFmtId="164" fontId="1" fillId="0" borderId="4" xfId="0" applyNumberFormat="1" applyFont="1" applyBorder="1" applyAlignment="1">
      <alignment horizontal="center"/>
    </xf>
    <xf numFmtId="164" fontId="0" fillId="4" borderId="16" xfId="0" applyNumberFormat="1" applyFill="1" applyBorder="1" applyAlignment="1">
      <alignment horizontal="center"/>
    </xf>
    <xf numFmtId="0" fontId="1" fillId="0" borderId="7" xfId="0" applyFont="1" applyBorder="1" applyAlignment="1">
      <alignment wrapText="1"/>
    </xf>
    <xf numFmtId="164" fontId="2" fillId="0" borderId="39" xfId="0" applyNumberFormat="1" applyFont="1" applyBorder="1" applyAlignment="1">
      <alignment horizontal="left" vertical="top" wrapText="1"/>
    </xf>
    <xf numFmtId="0" fontId="0" fillId="0" borderId="39" xfId="0" applyBorder="1" applyAlignment="1">
      <alignment vertical="top" wrapText="1"/>
    </xf>
    <xf numFmtId="0" fontId="0" fillId="0" borderId="0" xfId="0" applyAlignment="1">
      <alignment vertical="top" wrapText="1"/>
    </xf>
    <xf numFmtId="0" fontId="1" fillId="0" borderId="17" xfId="0" applyFont="1" applyFill="1" applyBorder="1" applyAlignment="1">
      <alignment horizontal="center"/>
    </xf>
    <xf numFmtId="0" fontId="1" fillId="0" borderId="2" xfId="0" applyFont="1" applyFill="1" applyBorder="1" applyAlignment="1">
      <alignment horizontal="center"/>
    </xf>
    <xf numFmtId="164" fontId="1" fillId="0" borderId="17" xfId="0" applyNumberFormat="1" applyFont="1" applyBorder="1" applyAlignment="1">
      <alignment horizontal="center"/>
    </xf>
    <xf numFmtId="164" fontId="1" fillId="0" borderId="2" xfId="0" applyNumberFormat="1" applyFont="1" applyBorder="1" applyAlignment="1">
      <alignment horizontal="center"/>
    </xf>
    <xf numFmtId="0" fontId="1" fillId="0" borderId="2" xfId="0" applyFont="1" applyBorder="1" applyAlignment="1">
      <alignment horizontal="center" vertical="top"/>
    </xf>
    <xf numFmtId="0" fontId="0" fillId="0" borderId="2" xfId="0" applyBorder="1" applyAlignment="1">
      <alignment horizontal="center" vertical="top"/>
    </xf>
    <xf numFmtId="2" fontId="3" fillId="0" borderId="18" xfId="0" applyNumberFormat="1" applyFont="1" applyFill="1" applyBorder="1" applyAlignment="1">
      <alignment horizontal="center" wrapText="1"/>
    </xf>
    <xf numFmtId="0" fontId="3" fillId="0" borderId="18" xfId="0" applyFont="1" applyBorder="1" applyAlignment="1">
      <alignment horizontal="center" wrapText="1"/>
    </xf>
    <xf numFmtId="0" fontId="3" fillId="0" borderId="44" xfId="0" applyFont="1" applyBorder="1" applyAlignment="1">
      <alignment horizontal="center" wrapText="1"/>
    </xf>
    <xf numFmtId="49" fontId="0" fillId="0" borderId="17" xfId="0" applyNumberFormat="1" applyFont="1" applyFill="1" applyBorder="1" applyAlignment="1"/>
    <xf numFmtId="0" fontId="3" fillId="0" borderId="17" xfId="0" applyFont="1" applyFill="1" applyBorder="1" applyAlignment="1"/>
    <xf numFmtId="0" fontId="1" fillId="0" borderId="38" xfId="0" applyFont="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1" fillId="0" borderId="14" xfId="0" applyFont="1" applyBorder="1" applyAlignment="1">
      <alignment horizontal="left"/>
    </xf>
    <xf numFmtId="164" fontId="0" fillId="4" borderId="2" xfId="0" applyNumberFormat="1" applyFill="1" applyBorder="1" applyAlignment="1">
      <alignment horizontal="center"/>
    </xf>
    <xf numFmtId="164" fontId="6" fillId="0" borderId="2" xfId="0" applyNumberFormat="1" applyFont="1" applyFill="1" applyBorder="1" applyAlignment="1">
      <alignment horizontal="center"/>
    </xf>
    <xf numFmtId="1" fontId="0" fillId="0" borderId="17" xfId="0" applyNumberFormat="1" applyFill="1" applyBorder="1" applyAlignment="1">
      <alignment horizontal="center"/>
    </xf>
    <xf numFmtId="1" fontId="0" fillId="0" borderId="17" xfId="0" applyNumberFormat="1" applyFont="1" applyFill="1" applyBorder="1" applyAlignment="1">
      <alignment horizontal="center"/>
    </xf>
    <xf numFmtId="1" fontId="0" fillId="0" borderId="16" xfId="0" applyNumberFormat="1" applyFont="1" applyFill="1" applyBorder="1" applyAlignment="1">
      <alignment horizontal="center"/>
    </xf>
    <xf numFmtId="0" fontId="0" fillId="0" borderId="3" xfId="0" applyBorder="1" applyAlignment="1">
      <alignment horizontal="center" wrapText="1"/>
    </xf>
    <xf numFmtId="0" fontId="0" fillId="0" borderId="3" xfId="0" applyBorder="1" applyAlignment="1">
      <alignment wrapText="1"/>
    </xf>
    <xf numFmtId="164" fontId="1" fillId="4" borderId="3" xfId="0" applyNumberFormat="1" applyFont="1" applyFill="1"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5" xfId="0" applyBorder="1" applyAlignment="1">
      <alignment horizontal="center"/>
    </xf>
    <xf numFmtId="0" fontId="1" fillId="0" borderId="43" xfId="0" applyFont="1" applyBorder="1" applyAlignment="1">
      <alignment horizontal="center"/>
    </xf>
    <xf numFmtId="0" fontId="0" fillId="0" borderId="28" xfId="0" applyBorder="1" applyAlignment="1">
      <alignment horizontal="center"/>
    </xf>
    <xf numFmtId="0" fontId="1" fillId="0" borderId="39" xfId="0" applyFont="1" applyBorder="1" applyAlignment="1">
      <alignment wrapText="1"/>
    </xf>
    <xf numFmtId="0" fontId="0" fillId="0" borderId="39" xfId="0" applyBorder="1" applyAlignment="1">
      <alignment wrapText="1"/>
    </xf>
    <xf numFmtId="0" fontId="0" fillId="0" borderId="31"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17"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46" xfId="0" applyBorder="1" applyAlignment="1">
      <alignment horizontal="center"/>
    </xf>
    <xf numFmtId="0" fontId="3" fillId="0" borderId="1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6" xfId="0" applyFont="1" applyFill="1" applyBorder="1" applyAlignment="1">
      <alignment horizontal="center"/>
    </xf>
    <xf numFmtId="0" fontId="3" fillId="0" borderId="31" xfId="0" applyFont="1" applyFill="1" applyBorder="1" applyAlignment="1">
      <alignment horizontal="center"/>
    </xf>
    <xf numFmtId="0" fontId="0" fillId="0" borderId="0" xfId="0" applyBorder="1" applyAlignment="1">
      <alignment horizontal="center" wrapText="1"/>
    </xf>
    <xf numFmtId="0" fontId="3" fillId="0" borderId="39" xfId="0" applyFont="1" applyBorder="1" applyAlignment="1">
      <alignment horizontal="center"/>
    </xf>
    <xf numFmtId="1" fontId="0" fillId="0" borderId="34" xfId="0" applyNumberFormat="1" applyBorder="1" applyAlignment="1">
      <alignment horizontal="center"/>
    </xf>
    <xf numFmtId="0" fontId="0" fillId="0" borderId="18" xfId="0" applyBorder="1" applyAlignment="1">
      <alignment wrapText="1"/>
    </xf>
    <xf numFmtId="0" fontId="0" fillId="0" borderId="18" xfId="0" applyBorder="1" applyAlignment="1"/>
    <xf numFmtId="0" fontId="0" fillId="0" borderId="44" xfId="0" applyBorder="1" applyAlignment="1">
      <alignment wrapText="1"/>
    </xf>
    <xf numFmtId="0" fontId="0" fillId="0" borderId="44" xfId="0" applyBorder="1" applyAlignment="1"/>
    <xf numFmtId="0" fontId="0" fillId="0" borderId="29" xfId="0" applyBorder="1" applyAlignment="1">
      <alignment horizontal="center"/>
    </xf>
    <xf numFmtId="0" fontId="3" fillId="0" borderId="43" xfId="0" applyFont="1" applyBorder="1" applyAlignment="1">
      <alignment horizontal="center"/>
    </xf>
    <xf numFmtId="0" fontId="3" fillId="0" borderId="28" xfId="0" applyFont="1" applyBorder="1" applyAlignment="1">
      <alignment horizontal="center"/>
    </xf>
    <xf numFmtId="2" fontId="3" fillId="0" borderId="3" xfId="0" applyNumberFormat="1" applyFont="1" applyFill="1" applyBorder="1" applyAlignment="1">
      <alignment horizontal="center" vertical="top" wrapText="1"/>
    </xf>
    <xf numFmtId="0" fontId="3" fillId="0" borderId="29" xfId="0" applyFont="1" applyBorder="1" applyAlignment="1">
      <alignment horizontal="center"/>
    </xf>
    <xf numFmtId="0" fontId="3" fillId="0" borderId="18" xfId="0" applyFont="1" applyBorder="1" applyAlignment="1">
      <alignment horizontal="center"/>
    </xf>
    <xf numFmtId="0" fontId="3" fillId="0" borderId="44" xfId="0" applyFont="1" applyBorder="1" applyAlignment="1">
      <alignment horizontal="center"/>
    </xf>
    <xf numFmtId="0" fontId="3" fillId="0" borderId="35" xfId="0" applyFont="1" applyFill="1" applyBorder="1" applyAlignment="1">
      <alignment horizontal="center" vertical="top" wrapText="1"/>
    </xf>
    <xf numFmtId="0" fontId="3" fillId="0" borderId="37" xfId="0" applyFont="1" applyBorder="1" applyAlignment="1">
      <alignment horizontal="center" vertical="top" wrapText="1"/>
    </xf>
    <xf numFmtId="0" fontId="3" fillId="0" borderId="13" xfId="0" applyFont="1" applyBorder="1" applyAlignment="1">
      <alignment horizontal="center" vertical="top" wrapText="1"/>
    </xf>
    <xf numFmtId="0" fontId="3" fillId="0" borderId="3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Fill="1" applyBorder="1" applyAlignment="1">
      <alignment horizontal="center" wrapText="1"/>
    </xf>
    <xf numFmtId="0" fontId="1" fillId="0" borderId="14" xfId="0" applyFont="1" applyFill="1" applyBorder="1" applyAlignment="1">
      <alignment horizontal="center"/>
    </xf>
    <xf numFmtId="0" fontId="3" fillId="0" borderId="19" xfId="0" applyFont="1" applyFill="1"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3" fillId="0" borderId="7" xfId="0" applyFont="1" applyFill="1" applyBorder="1" applyAlignment="1">
      <alignment horizontal="center" wrapText="1"/>
    </xf>
    <xf numFmtId="0" fontId="0" fillId="0" borderId="17" xfId="0" applyBorder="1" applyAlignment="1">
      <alignment horizontal="center" wrapText="1"/>
    </xf>
    <xf numFmtId="0" fontId="3" fillId="0" borderId="3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3" fillId="0" borderId="8" xfId="0" applyFont="1" applyFill="1" applyBorder="1" applyAlignment="1">
      <alignment horizontal="center"/>
    </xf>
    <xf numFmtId="164" fontId="0" fillId="4" borderId="4" xfId="0" applyNumberFormat="1" applyFill="1" applyBorder="1" applyAlignment="1">
      <alignment horizontal="center"/>
    </xf>
    <xf numFmtId="49" fontId="1" fillId="0" borderId="16" xfId="0" applyNumberFormat="1" applyFont="1" applyFill="1" applyBorder="1" applyAlignment="1">
      <alignment horizontal="center"/>
    </xf>
    <xf numFmtId="0" fontId="0" fillId="0" borderId="2" xfId="0" applyFill="1" applyBorder="1" applyAlignment="1">
      <alignment horizontal="center"/>
    </xf>
    <xf numFmtId="2" fontId="1" fillId="0" borderId="14" xfId="0" applyNumberFormat="1" applyFont="1" applyFill="1" applyBorder="1" applyAlignment="1">
      <alignment horizontal="left"/>
    </xf>
    <xf numFmtId="2" fontId="1" fillId="0" borderId="45" xfId="0" applyNumberFormat="1" applyFont="1" applyFill="1" applyBorder="1" applyAlignment="1">
      <alignment horizontal="left"/>
    </xf>
    <xf numFmtId="0" fontId="0" fillId="0" borderId="45" xfId="0" applyBorder="1" applyAlignment="1"/>
    <xf numFmtId="166" fontId="3" fillId="0" borderId="2" xfId="0" applyNumberFormat="1" applyFont="1" applyFill="1" applyBorder="1" applyAlignment="1">
      <alignment horizontal="center" wrapText="1"/>
    </xf>
    <xf numFmtId="0" fontId="3" fillId="0" borderId="34" xfId="0" applyFont="1" applyBorder="1" applyAlignment="1">
      <alignment horizontal="left" vertical="top"/>
    </xf>
    <xf numFmtId="0" fontId="3" fillId="0" borderId="1" xfId="0" applyFont="1" applyBorder="1" applyAlignment="1">
      <alignment horizontal="left" vertical="top"/>
    </xf>
    <xf numFmtId="0" fontId="0" fillId="0" borderId="17" xfId="0" applyBorder="1" applyAlignment="1">
      <alignment vertical="top"/>
    </xf>
    <xf numFmtId="0" fontId="0" fillId="0" borderId="2" xfId="0" applyBorder="1" applyAlignment="1">
      <alignment vertical="top"/>
    </xf>
    <xf numFmtId="166" fontId="3" fillId="0" borderId="1" xfId="0" applyNumberFormat="1" applyFont="1" applyFill="1" applyBorder="1" applyAlignment="1">
      <alignment horizontal="center"/>
    </xf>
    <xf numFmtId="0" fontId="3" fillId="0" borderId="1" xfId="0" applyFont="1" applyBorder="1" applyAlignment="1"/>
    <xf numFmtId="0" fontId="3" fillId="0" borderId="8" xfId="0" applyFont="1" applyBorder="1" applyAlignment="1"/>
    <xf numFmtId="166" fontId="3" fillId="0" borderId="2" xfId="0" applyNumberFormat="1" applyFont="1" applyFill="1" applyBorder="1" applyAlignment="1">
      <alignment horizontal="center"/>
    </xf>
    <xf numFmtId="0" fontId="0" fillId="0" borderId="3" xfId="0" applyBorder="1" applyAlignment="1">
      <alignment horizontal="center" vertical="top" wrapText="1"/>
    </xf>
    <xf numFmtId="164" fontId="6" fillId="0" borderId="4" xfId="0" applyNumberFormat="1" applyFont="1" applyFill="1" applyBorder="1" applyAlignment="1">
      <alignment horizontal="center"/>
    </xf>
    <xf numFmtId="164" fontId="6" fillId="4" borderId="4" xfId="0" applyNumberFormat="1" applyFont="1" applyFill="1" applyBorder="1" applyAlignment="1">
      <alignment horizontal="center"/>
    </xf>
    <xf numFmtId="0" fontId="3" fillId="0" borderId="7" xfId="0" applyFont="1" applyBorder="1" applyAlignment="1">
      <alignment horizontal="left" vertical="top"/>
    </xf>
    <xf numFmtId="0" fontId="3" fillId="0" borderId="19" xfId="0" applyFont="1" applyBorder="1" applyAlignment="1">
      <alignment horizontal="left" vertical="top"/>
    </xf>
    <xf numFmtId="0" fontId="0" fillId="0" borderId="16" xfId="0" applyBorder="1" applyAlignment="1"/>
    <xf numFmtId="164" fontId="0" fillId="4" borderId="2" xfId="0" applyNumberFormat="1" applyFill="1" applyBorder="1" applyAlignment="1">
      <alignment horizontal="center" vertical="top"/>
    </xf>
    <xf numFmtId="164" fontId="0" fillId="4" borderId="3" xfId="0" applyNumberFormat="1" applyFill="1" applyBorder="1" applyAlignment="1">
      <alignment horizontal="center" vertical="top"/>
    </xf>
    <xf numFmtId="0" fontId="0" fillId="0" borderId="18"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14" xfId="0" applyFill="1" applyBorder="1" applyAlignment="1">
      <alignment vertical="top"/>
    </xf>
    <xf numFmtId="0" fontId="0" fillId="3" borderId="2" xfId="0" applyFill="1" applyBorder="1" applyAlignment="1">
      <alignment horizontal="center" vertical="center"/>
    </xf>
    <xf numFmtId="0" fontId="3" fillId="0" borderId="19" xfId="0" applyFont="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3" fillId="0" borderId="38" xfId="0" applyFont="1"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0" fillId="0" borderId="7" xfId="0" applyBorder="1" applyAlignment="1">
      <alignment vertical="center"/>
    </xf>
    <xf numFmtId="0" fontId="2" fillId="0" borderId="39" xfId="0" applyFont="1" applyFill="1" applyBorder="1" applyAlignment="1">
      <alignment wrapText="1"/>
    </xf>
    <xf numFmtId="0" fontId="2" fillId="0" borderId="0" xfId="0" applyFont="1" applyFill="1" applyAlignment="1">
      <alignment wrapText="1"/>
    </xf>
    <xf numFmtId="0" fontId="1" fillId="0" borderId="16"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13" xfId="0" applyFont="1" applyFill="1" applyBorder="1" applyAlignment="1">
      <alignment horizontal="center" vertical="center" wrapText="1"/>
    </xf>
    <xf numFmtId="0" fontId="3" fillId="0" borderId="0" xfId="0" applyFont="1" applyAlignment="1">
      <alignment horizontal="center" vertical="center" wrapText="1"/>
    </xf>
    <xf numFmtId="0" fontId="14" fillId="0" borderId="39" xfId="0" applyFont="1" applyBorder="1" applyAlignment="1"/>
    <xf numFmtId="0" fontId="14" fillId="0" borderId="0" xfId="0" applyFont="1" applyAlignment="1"/>
    <xf numFmtId="0" fontId="3" fillId="0" borderId="5"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0" fillId="0" borderId="5"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0" fontId="0" fillId="0" borderId="17" xfId="0" applyBorder="1" applyAlignment="1">
      <alignment horizontal="center" vertical="center"/>
    </xf>
    <xf numFmtId="164" fontId="1" fillId="0" borderId="15" xfId="0" applyNumberFormat="1" applyFont="1" applyFill="1" applyBorder="1" applyAlignment="1">
      <alignment horizontal="center"/>
    </xf>
    <xf numFmtId="0" fontId="3" fillId="0" borderId="3" xfId="0" applyFont="1" applyBorder="1" applyAlignment="1">
      <alignment horizontal="center" vertical="center"/>
    </xf>
    <xf numFmtId="0" fontId="1" fillId="0" borderId="34" xfId="0" applyFont="1" applyBorder="1" applyAlignment="1">
      <alignment wrapText="1"/>
    </xf>
    <xf numFmtId="0" fontId="0" fillId="3" borderId="1" xfId="0" applyFill="1" applyBorder="1" applyAlignment="1">
      <alignment horizontal="center" vertical="center"/>
    </xf>
    <xf numFmtId="0" fontId="3" fillId="0" borderId="17" xfId="0" applyFont="1" applyBorder="1" applyAlignment="1"/>
    <xf numFmtId="0" fontId="3" fillId="0" borderId="2" xfId="0" applyFont="1" applyBorder="1" applyAlignment="1"/>
    <xf numFmtId="0" fontId="3" fillId="0" borderId="1" xfId="0" applyFont="1" applyBorder="1" applyAlignment="1">
      <alignment horizontal="center" vertical="top"/>
    </xf>
    <xf numFmtId="0" fontId="3" fillId="0" borderId="8" xfId="0" applyFont="1" applyBorder="1" applyAlignment="1">
      <alignment horizontal="center" vertical="top"/>
    </xf>
    <xf numFmtId="0" fontId="2" fillId="0" borderId="38" xfId="0" applyFont="1" applyBorder="1" applyAlignment="1"/>
    <xf numFmtId="0" fontId="1" fillId="0" borderId="43" xfId="0" applyFont="1" applyFill="1" applyBorder="1" applyAlignment="1">
      <alignment horizontal="center"/>
    </xf>
    <xf numFmtId="0" fontId="20" fillId="0" borderId="38" xfId="0" applyFont="1" applyFill="1" applyBorder="1" applyAlignment="1">
      <alignment horizontal="left"/>
    </xf>
    <xf numFmtId="0" fontId="20" fillId="0" borderId="38" xfId="0" applyFont="1" applyBorder="1" applyAlignment="1">
      <alignment horizontal="left"/>
    </xf>
    <xf numFmtId="0" fontId="22" fillId="0" borderId="0" xfId="1"/>
  </cellXfs>
  <cellStyles count="2">
    <cellStyle name="Hyperlink" xfId="1" builtinId="8"/>
    <cellStyle name="Normal" xfId="0" builtinId="0"/>
  </cellStyles>
  <dxfs count="3">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highwaysafetymanua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86"/>
  <sheetViews>
    <sheetView showGridLines="0" tabSelected="1" topLeftCell="A34" workbookViewId="0">
      <selection activeCell="J54" sqref="J54"/>
    </sheetView>
  </sheetViews>
  <sheetFormatPr defaultRowHeight="12.75" x14ac:dyDescent="0.2"/>
  <sheetData>
    <row r="2" spans="2:16" x14ac:dyDescent="0.2">
      <c r="B2" s="270" t="s">
        <v>558</v>
      </c>
      <c r="C2" s="270"/>
      <c r="D2" s="270"/>
      <c r="E2" s="270"/>
      <c r="F2" s="270"/>
      <c r="G2" s="270"/>
      <c r="H2" s="270"/>
      <c r="I2" s="270"/>
      <c r="J2" s="270"/>
      <c r="K2" s="270"/>
      <c r="L2" s="270"/>
      <c r="M2" s="270"/>
      <c r="N2" s="270"/>
      <c r="O2" s="270"/>
      <c r="P2" s="270"/>
    </row>
    <row r="4" spans="2:16" x14ac:dyDescent="0.2">
      <c r="B4" s="93" t="s">
        <v>144</v>
      </c>
      <c r="K4" s="93" t="s">
        <v>146</v>
      </c>
    </row>
    <row r="6" spans="2:16" x14ac:dyDescent="0.2">
      <c r="B6" s="263" t="s">
        <v>629</v>
      </c>
      <c r="C6" s="263"/>
      <c r="D6" s="263"/>
      <c r="E6" s="263"/>
      <c r="F6" s="263"/>
      <c r="G6" s="263"/>
      <c r="H6" s="263"/>
      <c r="I6" s="263"/>
      <c r="K6" s="263" t="s">
        <v>630</v>
      </c>
      <c r="L6" s="263"/>
      <c r="M6" s="263"/>
      <c r="N6" s="263"/>
      <c r="O6" s="263"/>
      <c r="P6" s="263"/>
    </row>
    <row r="7" spans="2:16" x14ac:dyDescent="0.2">
      <c r="B7" s="263"/>
      <c r="C7" s="263"/>
      <c r="D7" s="263"/>
      <c r="E7" s="263"/>
      <c r="F7" s="263"/>
      <c r="G7" s="263"/>
      <c r="H7" s="263"/>
      <c r="I7" s="263"/>
      <c r="K7" s="263"/>
      <c r="L7" s="263"/>
      <c r="M7" s="263"/>
      <c r="N7" s="263"/>
      <c r="O7" s="263"/>
      <c r="P7" s="263"/>
    </row>
    <row r="8" spans="2:16" x14ac:dyDescent="0.2">
      <c r="B8" s="263"/>
      <c r="C8" s="263"/>
      <c r="D8" s="263"/>
      <c r="E8" s="263"/>
      <c r="F8" s="263"/>
      <c r="G8" s="263"/>
      <c r="H8" s="263"/>
      <c r="I8" s="263"/>
      <c r="K8" s="263"/>
      <c r="L8" s="263"/>
      <c r="M8" s="263"/>
      <c r="N8" s="263"/>
      <c r="O8" s="263"/>
      <c r="P8" s="263"/>
    </row>
    <row r="9" spans="2:16" x14ac:dyDescent="0.2">
      <c r="B9" s="263"/>
      <c r="C9" s="263"/>
      <c r="D9" s="263"/>
      <c r="E9" s="263"/>
      <c r="F9" s="263"/>
      <c r="G9" s="263"/>
      <c r="H9" s="263"/>
      <c r="I9" s="263"/>
      <c r="K9" s="263"/>
      <c r="L9" s="263"/>
      <c r="M9" s="263"/>
      <c r="N9" s="263"/>
      <c r="O9" s="263"/>
      <c r="P9" s="263"/>
    </row>
    <row r="10" spans="2:16" x14ac:dyDescent="0.2">
      <c r="B10" s="263"/>
      <c r="C10" s="263"/>
      <c r="D10" s="263"/>
      <c r="E10" s="263"/>
      <c r="F10" s="263"/>
      <c r="G10" s="263"/>
      <c r="H10" s="263"/>
      <c r="I10" s="263"/>
      <c r="K10" s="263"/>
      <c r="L10" s="263"/>
      <c r="M10" s="263"/>
      <c r="N10" s="263"/>
      <c r="O10" s="263"/>
      <c r="P10" s="263"/>
    </row>
    <row r="11" spans="2:16" x14ac:dyDescent="0.2">
      <c r="B11" s="263"/>
      <c r="C11" s="263"/>
      <c r="D11" s="263"/>
      <c r="E11" s="263"/>
      <c r="F11" s="263"/>
      <c r="G11" s="263"/>
      <c r="H11" s="263"/>
      <c r="I11" s="263"/>
      <c r="K11" s="263"/>
      <c r="L11" s="263"/>
      <c r="M11" s="263"/>
      <c r="N11" s="263"/>
      <c r="O11" s="263"/>
      <c r="P11" s="263"/>
    </row>
    <row r="13" spans="2:16" ht="13.15" customHeight="1" x14ac:dyDescent="0.2">
      <c r="B13" s="264" t="s">
        <v>667</v>
      </c>
      <c r="C13" s="264"/>
      <c r="D13" s="264"/>
      <c r="E13" s="264"/>
      <c r="F13" s="264"/>
      <c r="G13" s="264"/>
      <c r="H13" s="264"/>
      <c r="I13" s="264"/>
      <c r="K13" s="93" t="s">
        <v>147</v>
      </c>
      <c r="M13" s="93" t="s">
        <v>148</v>
      </c>
    </row>
    <row r="14" spans="2:16" x14ac:dyDescent="0.2">
      <c r="B14" s="264"/>
      <c r="C14" s="264"/>
      <c r="D14" s="264"/>
      <c r="E14" s="264"/>
      <c r="F14" s="264"/>
      <c r="G14" s="264"/>
      <c r="H14" s="264"/>
      <c r="I14" s="264"/>
    </row>
    <row r="15" spans="2:16" ht="13.15" customHeight="1" x14ac:dyDescent="0.2">
      <c r="B15" s="264"/>
      <c r="C15" s="264"/>
      <c r="D15" s="264"/>
      <c r="E15" s="264"/>
      <c r="F15" s="264"/>
      <c r="G15" s="264"/>
      <c r="H15" s="264"/>
      <c r="I15" s="264"/>
      <c r="K15" s="190"/>
      <c r="M15" s="264" t="s">
        <v>631</v>
      </c>
      <c r="N15" s="264"/>
      <c r="O15" s="264"/>
      <c r="P15" s="264"/>
    </row>
    <row r="16" spans="2:16" x14ac:dyDescent="0.2">
      <c r="B16" s="264"/>
      <c r="C16" s="264"/>
      <c r="D16" s="264"/>
      <c r="E16" s="264"/>
      <c r="F16" s="264"/>
      <c r="G16" s="264"/>
      <c r="H16" s="264"/>
      <c r="I16" s="264"/>
      <c r="K16" s="191"/>
      <c r="M16" s="264"/>
      <c r="N16" s="264"/>
      <c r="O16" s="264"/>
      <c r="P16" s="264"/>
    </row>
    <row r="17" spans="2:16" x14ac:dyDescent="0.2">
      <c r="B17" s="264"/>
      <c r="C17" s="264"/>
      <c r="D17" s="264"/>
      <c r="E17" s="264"/>
      <c r="F17" s="264"/>
      <c r="G17" s="264"/>
      <c r="H17" s="264"/>
      <c r="I17" s="264"/>
    </row>
    <row r="18" spans="2:16" ht="13.15" customHeight="1" x14ac:dyDescent="0.2">
      <c r="B18" s="264"/>
      <c r="C18" s="264"/>
      <c r="D18" s="264"/>
      <c r="E18" s="264"/>
      <c r="F18" s="264"/>
      <c r="G18" s="264"/>
      <c r="H18" s="264"/>
      <c r="I18" s="264"/>
      <c r="K18" s="192"/>
      <c r="M18" s="263" t="s">
        <v>632</v>
      </c>
      <c r="N18" s="263"/>
      <c r="O18" s="263"/>
      <c r="P18" s="263"/>
    </row>
    <row r="19" spans="2:16" x14ac:dyDescent="0.2">
      <c r="B19" s="264"/>
      <c r="C19" s="264"/>
      <c r="D19" s="264"/>
      <c r="E19" s="264"/>
      <c r="F19" s="264"/>
      <c r="G19" s="264"/>
      <c r="H19" s="264"/>
      <c r="I19" s="264"/>
      <c r="K19" s="193"/>
      <c r="M19" s="263"/>
      <c r="N19" s="263"/>
      <c r="O19" s="263"/>
      <c r="P19" s="263"/>
    </row>
    <row r="20" spans="2:16" x14ac:dyDescent="0.2">
      <c r="B20" s="264"/>
      <c r="C20" s="264"/>
      <c r="D20" s="264"/>
      <c r="E20" s="264"/>
      <c r="F20" s="264"/>
      <c r="G20" s="264"/>
      <c r="H20" s="264"/>
      <c r="I20" s="264"/>
      <c r="M20" s="263"/>
      <c r="N20" s="263"/>
      <c r="O20" s="263"/>
      <c r="P20" s="263"/>
    </row>
    <row r="21" spans="2:16" x14ac:dyDescent="0.2">
      <c r="B21" s="26" t="s">
        <v>141</v>
      </c>
    </row>
    <row r="22" spans="2:16" ht="13.15" customHeight="1" x14ac:dyDescent="0.2">
      <c r="K22" s="194"/>
      <c r="M22" s="264" t="s">
        <v>633</v>
      </c>
      <c r="N22" s="264"/>
      <c r="O22" s="264"/>
      <c r="P22" s="264"/>
    </row>
    <row r="23" spans="2:16" x14ac:dyDescent="0.2">
      <c r="K23" s="195"/>
      <c r="M23" s="264"/>
      <c r="N23" s="264"/>
      <c r="O23" s="264"/>
      <c r="P23" s="264"/>
    </row>
    <row r="24" spans="2:16" x14ac:dyDescent="0.2">
      <c r="B24" s="93" t="s">
        <v>142</v>
      </c>
      <c r="E24" s="94" t="s">
        <v>143</v>
      </c>
      <c r="M24" s="264"/>
      <c r="N24" s="264"/>
      <c r="O24" s="264"/>
      <c r="P24" s="264"/>
    </row>
    <row r="25" spans="2:16" x14ac:dyDescent="0.2">
      <c r="M25" s="264"/>
      <c r="N25" s="264"/>
      <c r="O25" s="264"/>
      <c r="P25" s="264"/>
    </row>
    <row r="26" spans="2:16" x14ac:dyDescent="0.2">
      <c r="B26" s="26" t="s">
        <v>145</v>
      </c>
      <c r="E26" s="263" t="s">
        <v>634</v>
      </c>
      <c r="F26" s="263"/>
      <c r="G26" s="263"/>
      <c r="H26" s="263"/>
      <c r="I26" s="263"/>
      <c r="M26" s="264"/>
      <c r="N26" s="264"/>
      <c r="O26" s="264"/>
      <c r="P26" s="264"/>
    </row>
    <row r="27" spans="2:16" x14ac:dyDescent="0.2">
      <c r="E27" s="263"/>
      <c r="F27" s="263"/>
      <c r="G27" s="263"/>
      <c r="H27" s="263"/>
      <c r="I27" s="263"/>
      <c r="M27" s="264"/>
      <c r="N27" s="264"/>
      <c r="O27" s="264"/>
      <c r="P27" s="264"/>
    </row>
    <row r="28" spans="2:16" x14ac:dyDescent="0.2">
      <c r="E28" s="263"/>
      <c r="F28" s="263"/>
      <c r="G28" s="263"/>
      <c r="H28" s="263"/>
      <c r="I28" s="263"/>
      <c r="M28" s="264"/>
      <c r="N28" s="264"/>
      <c r="O28" s="264"/>
      <c r="P28" s="264"/>
    </row>
    <row r="29" spans="2:16" x14ac:dyDescent="0.2">
      <c r="M29" s="264"/>
      <c r="N29" s="264"/>
      <c r="O29" s="264"/>
      <c r="P29" s="264"/>
    </row>
    <row r="30" spans="2:16" x14ac:dyDescent="0.2">
      <c r="B30" s="26" t="s">
        <v>665</v>
      </c>
      <c r="E30" s="263" t="s">
        <v>635</v>
      </c>
      <c r="F30" s="263"/>
      <c r="G30" s="263"/>
      <c r="H30" s="263"/>
      <c r="I30" s="263"/>
      <c r="M30" s="264"/>
      <c r="N30" s="264"/>
      <c r="O30" s="264"/>
      <c r="P30" s="264"/>
    </row>
    <row r="31" spans="2:16" x14ac:dyDescent="0.2">
      <c r="E31" s="263"/>
      <c r="F31" s="263"/>
      <c r="G31" s="263"/>
      <c r="H31" s="263"/>
      <c r="I31" s="263"/>
      <c r="M31" s="264"/>
      <c r="N31" s="264"/>
      <c r="O31" s="264"/>
      <c r="P31" s="264"/>
    </row>
    <row r="32" spans="2:16" x14ac:dyDescent="0.2">
      <c r="E32" s="263"/>
      <c r="F32" s="263"/>
      <c r="G32" s="263"/>
      <c r="H32" s="263"/>
      <c r="I32" s="263"/>
      <c r="M32" s="264"/>
      <c r="N32" s="264"/>
      <c r="O32" s="264"/>
      <c r="P32" s="264"/>
    </row>
    <row r="33" spans="2:16" x14ac:dyDescent="0.2">
      <c r="E33" s="263"/>
      <c r="F33" s="263"/>
      <c r="G33" s="263"/>
      <c r="H33" s="263"/>
      <c r="I33" s="263"/>
      <c r="M33" s="264"/>
      <c r="N33" s="264"/>
      <c r="O33" s="264"/>
      <c r="P33" s="264"/>
    </row>
    <row r="34" spans="2:16" x14ac:dyDescent="0.2">
      <c r="M34" s="264"/>
      <c r="N34" s="264"/>
      <c r="O34" s="264"/>
      <c r="P34" s="264"/>
    </row>
    <row r="35" spans="2:16" x14ac:dyDescent="0.2">
      <c r="B35" s="26" t="s">
        <v>666</v>
      </c>
      <c r="E35" s="264" t="s">
        <v>637</v>
      </c>
      <c r="F35" s="264"/>
      <c r="G35" s="264"/>
      <c r="H35" s="264"/>
      <c r="I35" s="264"/>
      <c r="M35" s="210"/>
    </row>
    <row r="36" spans="2:16" x14ac:dyDescent="0.2">
      <c r="E36" s="264"/>
      <c r="F36" s="264"/>
      <c r="G36" s="264"/>
      <c r="H36" s="264"/>
      <c r="I36" s="264"/>
    </row>
    <row r="37" spans="2:16" x14ac:dyDescent="0.2">
      <c r="E37" s="264"/>
      <c r="F37" s="264"/>
      <c r="G37" s="264"/>
      <c r="H37" s="264"/>
      <c r="I37" s="264"/>
      <c r="K37" s="210" t="s">
        <v>610</v>
      </c>
      <c r="L37" s="210"/>
    </row>
    <row r="38" spans="2:16" x14ac:dyDescent="0.2">
      <c r="E38" s="264"/>
      <c r="F38" s="264"/>
      <c r="G38" s="264"/>
      <c r="H38" s="264"/>
      <c r="I38" s="264"/>
      <c r="L38" t="s">
        <v>611</v>
      </c>
    </row>
    <row r="39" spans="2:16" x14ac:dyDescent="0.2">
      <c r="E39" s="264"/>
      <c r="F39" s="264"/>
      <c r="G39" s="264"/>
      <c r="H39" s="264"/>
      <c r="I39" s="264"/>
      <c r="L39" t="s">
        <v>612</v>
      </c>
    </row>
    <row r="40" spans="2:16" x14ac:dyDescent="0.2">
      <c r="E40" s="264"/>
      <c r="F40" s="264"/>
      <c r="G40" s="264"/>
      <c r="H40" s="264"/>
      <c r="I40" s="264"/>
      <c r="L40" t="s">
        <v>613</v>
      </c>
    </row>
    <row r="41" spans="2:16" x14ac:dyDescent="0.2">
      <c r="L41" t="s">
        <v>614</v>
      </c>
    </row>
    <row r="42" spans="2:16" x14ac:dyDescent="0.2">
      <c r="B42" s="258" t="s">
        <v>668</v>
      </c>
      <c r="E42" s="263" t="s">
        <v>639</v>
      </c>
      <c r="F42" s="263"/>
      <c r="G42" s="263"/>
      <c r="H42" s="263"/>
      <c r="I42" s="263"/>
    </row>
    <row r="43" spans="2:16" x14ac:dyDescent="0.2">
      <c r="E43" s="263"/>
      <c r="F43" s="263"/>
      <c r="G43" s="263"/>
      <c r="H43" s="263"/>
      <c r="I43" s="263"/>
      <c r="L43" t="s">
        <v>615</v>
      </c>
    </row>
    <row r="44" spans="2:16" x14ac:dyDescent="0.2">
      <c r="E44" s="263"/>
      <c r="F44" s="263"/>
      <c r="G44" s="263"/>
      <c r="H44" s="263"/>
      <c r="I44" s="263"/>
      <c r="L44" t="s">
        <v>616</v>
      </c>
    </row>
    <row r="45" spans="2:16" x14ac:dyDescent="0.2">
      <c r="E45" s="263"/>
      <c r="F45" s="263"/>
      <c r="G45" s="263"/>
      <c r="H45" s="263"/>
      <c r="I45" s="263"/>
    </row>
    <row r="46" spans="2:16" x14ac:dyDescent="0.2">
      <c r="E46" s="263"/>
      <c r="F46" s="263"/>
      <c r="G46" s="263"/>
      <c r="H46" s="263"/>
      <c r="I46" s="263"/>
      <c r="K46" s="210" t="s">
        <v>628</v>
      </c>
    </row>
    <row r="47" spans="2:16" x14ac:dyDescent="0.2">
      <c r="E47" s="263"/>
      <c r="F47" s="263"/>
      <c r="G47" s="263"/>
      <c r="H47" s="263"/>
      <c r="I47" s="263"/>
      <c r="L47" s="26" t="s">
        <v>675</v>
      </c>
    </row>
    <row r="48" spans="2:16" x14ac:dyDescent="0.2">
      <c r="L48" t="s">
        <v>674</v>
      </c>
    </row>
    <row r="49" spans="2:12" x14ac:dyDescent="0.2">
      <c r="B49" s="258" t="s">
        <v>669</v>
      </c>
      <c r="E49" s="263" t="s">
        <v>640</v>
      </c>
      <c r="F49" s="263"/>
      <c r="G49" s="263"/>
      <c r="H49" s="263"/>
      <c r="I49" s="263"/>
    </row>
    <row r="50" spans="2:12" x14ac:dyDescent="0.2">
      <c r="E50" s="263"/>
      <c r="F50" s="263"/>
      <c r="G50" s="263"/>
      <c r="H50" s="263"/>
      <c r="I50" s="263"/>
      <c r="K50" s="210" t="s">
        <v>676</v>
      </c>
    </row>
    <row r="51" spans="2:12" x14ac:dyDescent="0.2">
      <c r="E51" s="263"/>
      <c r="F51" s="263"/>
      <c r="G51" s="263"/>
      <c r="H51" s="263"/>
      <c r="I51" s="263"/>
      <c r="L51" s="942" t="s">
        <v>677</v>
      </c>
    </row>
    <row r="52" spans="2:12" x14ac:dyDescent="0.2">
      <c r="E52" s="263"/>
      <c r="F52" s="263"/>
      <c r="G52" s="263"/>
      <c r="H52" s="263"/>
      <c r="I52" s="263"/>
    </row>
    <row r="53" spans="2:12" x14ac:dyDescent="0.2">
      <c r="E53" s="263"/>
      <c r="F53" s="263"/>
      <c r="G53" s="263"/>
      <c r="H53" s="263"/>
      <c r="I53" s="263"/>
    </row>
    <row r="54" spans="2:12" x14ac:dyDescent="0.2">
      <c r="E54" s="263"/>
      <c r="F54" s="263"/>
      <c r="G54" s="263"/>
      <c r="H54" s="263"/>
      <c r="I54" s="263"/>
    </row>
    <row r="55" spans="2:12" x14ac:dyDescent="0.2">
      <c r="E55" s="263"/>
      <c r="F55" s="263"/>
      <c r="G55" s="263"/>
      <c r="H55" s="263"/>
      <c r="I55" s="263"/>
    </row>
    <row r="57" spans="2:12" x14ac:dyDescent="0.2">
      <c r="B57" s="26" t="s">
        <v>670</v>
      </c>
      <c r="E57" s="264" t="s">
        <v>636</v>
      </c>
      <c r="F57" s="264"/>
      <c r="G57" s="264"/>
      <c r="H57" s="264"/>
      <c r="I57" s="264"/>
    </row>
    <row r="58" spans="2:12" x14ac:dyDescent="0.2">
      <c r="E58" s="264"/>
      <c r="F58" s="264"/>
      <c r="G58" s="264"/>
      <c r="H58" s="264"/>
      <c r="I58" s="264"/>
    </row>
    <row r="59" spans="2:12" x14ac:dyDescent="0.2">
      <c r="E59" s="264"/>
      <c r="F59" s="264"/>
      <c r="G59" s="264"/>
      <c r="H59" s="264"/>
      <c r="I59" s="264"/>
    </row>
    <row r="61" spans="2:12" x14ac:dyDescent="0.2">
      <c r="B61" s="26" t="s">
        <v>671</v>
      </c>
      <c r="E61" s="264" t="s">
        <v>638</v>
      </c>
      <c r="F61" s="264"/>
      <c r="G61" s="264"/>
      <c r="H61" s="264"/>
      <c r="I61" s="264"/>
    </row>
    <row r="62" spans="2:12" x14ac:dyDescent="0.2">
      <c r="E62" s="264"/>
      <c r="F62" s="264"/>
      <c r="G62" s="264"/>
      <c r="H62" s="264"/>
      <c r="I62" s="264"/>
    </row>
    <row r="63" spans="2:12" x14ac:dyDescent="0.2">
      <c r="E63" s="264"/>
      <c r="F63" s="264"/>
      <c r="G63" s="264"/>
      <c r="H63" s="264"/>
      <c r="I63" s="264"/>
    </row>
    <row r="65" spans="2:16" x14ac:dyDescent="0.2">
      <c r="B65" s="26" t="s">
        <v>672</v>
      </c>
      <c r="E65" s="263" t="s">
        <v>641</v>
      </c>
      <c r="F65" s="263"/>
      <c r="G65" s="263"/>
      <c r="H65" s="263"/>
      <c r="I65" s="263"/>
    </row>
    <row r="66" spans="2:16" x14ac:dyDescent="0.2">
      <c r="E66" s="263"/>
      <c r="F66" s="263"/>
      <c r="G66" s="263"/>
      <c r="H66" s="263"/>
      <c r="I66" s="263"/>
    </row>
    <row r="67" spans="2:16" x14ac:dyDescent="0.2">
      <c r="E67" s="263"/>
      <c r="F67" s="263"/>
      <c r="G67" s="263"/>
      <c r="H67" s="263"/>
      <c r="I67" s="263"/>
    </row>
    <row r="68" spans="2:16" x14ac:dyDescent="0.2">
      <c r="E68" s="263"/>
      <c r="F68" s="263"/>
      <c r="G68" s="263"/>
      <c r="H68" s="263"/>
      <c r="I68" s="263"/>
    </row>
    <row r="69" spans="2:16" x14ac:dyDescent="0.2">
      <c r="E69" s="263"/>
      <c r="F69" s="263"/>
      <c r="G69" s="263"/>
      <c r="H69" s="263"/>
      <c r="I69" s="263"/>
    </row>
    <row r="70" spans="2:16" x14ac:dyDescent="0.2">
      <c r="E70" s="263"/>
      <c r="F70" s="263"/>
      <c r="G70" s="263"/>
      <c r="H70" s="263"/>
      <c r="I70" s="263"/>
    </row>
    <row r="71" spans="2:16" x14ac:dyDescent="0.2">
      <c r="E71" s="263"/>
      <c r="F71" s="263"/>
      <c r="G71" s="263"/>
      <c r="H71" s="263"/>
      <c r="I71" s="263"/>
    </row>
    <row r="75" spans="2:16" x14ac:dyDescent="0.2">
      <c r="B75" s="210" t="s">
        <v>619</v>
      </c>
    </row>
    <row r="76" spans="2:16" x14ac:dyDescent="0.2">
      <c r="B76" s="271" t="s">
        <v>620</v>
      </c>
      <c r="C76" s="271"/>
      <c r="D76" s="271" t="s">
        <v>621</v>
      </c>
      <c r="E76" s="271"/>
      <c r="F76" s="271"/>
      <c r="G76" s="271"/>
      <c r="H76" s="271"/>
      <c r="I76" s="271" t="s">
        <v>622</v>
      </c>
      <c r="J76" s="271"/>
      <c r="K76" s="271"/>
      <c r="L76" s="271"/>
      <c r="M76" s="271"/>
      <c r="N76" s="271"/>
      <c r="O76" s="271"/>
      <c r="P76" s="271"/>
    </row>
    <row r="77" spans="2:16" x14ac:dyDescent="0.2">
      <c r="B77" s="272" t="s">
        <v>623</v>
      </c>
      <c r="C77" s="273"/>
      <c r="D77" s="274" t="s">
        <v>624</v>
      </c>
      <c r="E77" s="274"/>
      <c r="F77" s="274"/>
      <c r="G77" s="274"/>
      <c r="H77" s="274"/>
      <c r="I77" s="274" t="s">
        <v>625</v>
      </c>
      <c r="J77" s="273"/>
      <c r="K77" s="273"/>
      <c r="L77" s="273"/>
      <c r="M77" s="273"/>
      <c r="N77" s="273"/>
      <c r="O77" s="273"/>
      <c r="P77" s="275"/>
    </row>
    <row r="78" spans="2:16" ht="43.15" customHeight="1" x14ac:dyDescent="0.2">
      <c r="B78" s="269" t="s">
        <v>626</v>
      </c>
      <c r="C78" s="266"/>
      <c r="D78" s="267" t="s">
        <v>627</v>
      </c>
      <c r="E78" s="267"/>
      <c r="F78" s="267"/>
      <c r="G78" s="267"/>
      <c r="H78" s="267"/>
      <c r="I78" s="267" t="s">
        <v>673</v>
      </c>
      <c r="J78" s="266"/>
      <c r="K78" s="266"/>
      <c r="L78" s="266"/>
      <c r="M78" s="266"/>
      <c r="N78" s="266"/>
      <c r="O78" s="266"/>
      <c r="P78" s="268"/>
    </row>
    <row r="79" spans="2:16" x14ac:dyDescent="0.2">
      <c r="B79" s="265"/>
      <c r="C79" s="266"/>
      <c r="D79" s="267"/>
      <c r="E79" s="267"/>
      <c r="F79" s="267"/>
      <c r="G79" s="267"/>
      <c r="H79" s="267"/>
      <c r="I79" s="266"/>
      <c r="J79" s="266"/>
      <c r="K79" s="266"/>
      <c r="L79" s="266"/>
      <c r="M79" s="266"/>
      <c r="N79" s="266"/>
      <c r="O79" s="266"/>
      <c r="P79" s="268"/>
    </row>
    <row r="80" spans="2:16" x14ac:dyDescent="0.2">
      <c r="B80" s="265"/>
      <c r="C80" s="266"/>
      <c r="D80" s="267"/>
      <c r="E80" s="267"/>
      <c r="F80" s="267"/>
      <c r="G80" s="267"/>
      <c r="H80" s="267"/>
      <c r="I80" s="266"/>
      <c r="J80" s="266"/>
      <c r="K80" s="266"/>
      <c r="L80" s="266"/>
      <c r="M80" s="266"/>
      <c r="N80" s="266"/>
      <c r="O80" s="266"/>
      <c r="P80" s="268"/>
    </row>
    <row r="81" spans="2:16" x14ac:dyDescent="0.2">
      <c r="B81" s="265"/>
      <c r="C81" s="266"/>
      <c r="D81" s="267"/>
      <c r="E81" s="267"/>
      <c r="F81" s="267"/>
      <c r="G81" s="267"/>
      <c r="H81" s="267"/>
      <c r="I81" s="266"/>
      <c r="J81" s="266"/>
      <c r="K81" s="266"/>
      <c r="L81" s="266"/>
      <c r="M81" s="266"/>
      <c r="N81" s="266"/>
      <c r="O81" s="266"/>
      <c r="P81" s="268"/>
    </row>
    <row r="82" spans="2:16" x14ac:dyDescent="0.2">
      <c r="B82" s="265"/>
      <c r="C82" s="266"/>
      <c r="D82" s="267"/>
      <c r="E82" s="267"/>
      <c r="F82" s="267"/>
      <c r="G82" s="267"/>
      <c r="H82" s="267"/>
      <c r="I82" s="266"/>
      <c r="J82" s="266"/>
      <c r="K82" s="266"/>
      <c r="L82" s="266"/>
      <c r="M82" s="266"/>
      <c r="N82" s="266"/>
      <c r="O82" s="266"/>
      <c r="P82" s="268"/>
    </row>
    <row r="83" spans="2:16" x14ac:dyDescent="0.2">
      <c r="B83" s="265"/>
      <c r="C83" s="266"/>
      <c r="D83" s="267"/>
      <c r="E83" s="267"/>
      <c r="F83" s="267"/>
      <c r="G83" s="267"/>
      <c r="H83" s="267"/>
      <c r="I83" s="266"/>
      <c r="J83" s="266"/>
      <c r="K83" s="266"/>
      <c r="L83" s="266"/>
      <c r="M83" s="266"/>
      <c r="N83" s="266"/>
      <c r="O83" s="266"/>
      <c r="P83" s="268"/>
    </row>
    <row r="84" spans="2:16" x14ac:dyDescent="0.2">
      <c r="B84" s="265"/>
      <c r="C84" s="266"/>
      <c r="D84" s="267"/>
      <c r="E84" s="267"/>
      <c r="F84" s="267"/>
      <c r="G84" s="267"/>
      <c r="H84" s="267"/>
      <c r="I84" s="266"/>
      <c r="J84" s="266"/>
      <c r="K84" s="266"/>
      <c r="L84" s="266"/>
      <c r="M84" s="266"/>
      <c r="N84" s="266"/>
      <c r="O84" s="266"/>
      <c r="P84" s="268"/>
    </row>
    <row r="85" spans="2:16" x14ac:dyDescent="0.2">
      <c r="B85" s="265"/>
      <c r="C85" s="266"/>
      <c r="D85" s="267"/>
      <c r="E85" s="267"/>
      <c r="F85" s="267"/>
      <c r="G85" s="267"/>
      <c r="H85" s="267"/>
      <c r="I85" s="266"/>
      <c r="J85" s="266"/>
      <c r="K85" s="266"/>
      <c r="L85" s="266"/>
      <c r="M85" s="266"/>
      <c r="N85" s="266"/>
      <c r="O85" s="266"/>
      <c r="P85" s="268"/>
    </row>
    <row r="86" spans="2:16" x14ac:dyDescent="0.2">
      <c r="B86" s="259"/>
      <c r="C86" s="260"/>
      <c r="D86" s="261"/>
      <c r="E86" s="261"/>
      <c r="F86" s="261"/>
      <c r="G86" s="261"/>
      <c r="H86" s="261"/>
      <c r="I86" s="260"/>
      <c r="J86" s="260"/>
      <c r="K86" s="260"/>
      <c r="L86" s="260"/>
      <c r="M86" s="260"/>
      <c r="N86" s="260"/>
      <c r="O86" s="260"/>
      <c r="P86" s="262"/>
    </row>
  </sheetData>
  <mergeCells count="48">
    <mergeCell ref="B2:P2"/>
    <mergeCell ref="B76:C76"/>
    <mergeCell ref="D76:H76"/>
    <mergeCell ref="I76:P76"/>
    <mergeCell ref="B77:C77"/>
    <mergeCell ref="D77:H77"/>
    <mergeCell ref="I77:P77"/>
    <mergeCell ref="E49:I55"/>
    <mergeCell ref="E65:I71"/>
    <mergeCell ref="B13:I20"/>
    <mergeCell ref="B78:C78"/>
    <mergeCell ref="D78:H78"/>
    <mergeCell ref="I78:P78"/>
    <mergeCell ref="B79:C79"/>
    <mergeCell ref="D79:H79"/>
    <mergeCell ref="I79:P79"/>
    <mergeCell ref="B80:C80"/>
    <mergeCell ref="D80:H80"/>
    <mergeCell ref="I80:P80"/>
    <mergeCell ref="B81:C81"/>
    <mergeCell ref="D81:H81"/>
    <mergeCell ref="I81:P81"/>
    <mergeCell ref="I84:P84"/>
    <mergeCell ref="B85:C85"/>
    <mergeCell ref="D85:H85"/>
    <mergeCell ref="I85:P85"/>
    <mergeCell ref="B82:C82"/>
    <mergeCell ref="D82:H82"/>
    <mergeCell ref="I82:P82"/>
    <mergeCell ref="B83:C83"/>
    <mergeCell ref="D83:H83"/>
    <mergeCell ref="I83:P83"/>
    <mergeCell ref="B86:C86"/>
    <mergeCell ref="D86:H86"/>
    <mergeCell ref="I86:P86"/>
    <mergeCell ref="B6:I11"/>
    <mergeCell ref="K6:P11"/>
    <mergeCell ref="M15:P16"/>
    <mergeCell ref="M18:P20"/>
    <mergeCell ref="M22:P34"/>
    <mergeCell ref="E26:I28"/>
    <mergeCell ref="E30:I33"/>
    <mergeCell ref="E57:I59"/>
    <mergeCell ref="E35:I40"/>
    <mergeCell ref="E61:I63"/>
    <mergeCell ref="E42:I47"/>
    <mergeCell ref="B84:C84"/>
    <mergeCell ref="D84:H84"/>
  </mergeCells>
  <hyperlinks>
    <hyperlink ref="L51" r:id="rId1" xr:uid="{80644092-D43A-4981-AE09-1F3D68290B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A187"/>
  <sheetViews>
    <sheetView topLeftCell="A169" zoomScaleNormal="100" workbookViewId="0">
      <selection activeCell="J12" sqref="J12:N12"/>
    </sheetView>
  </sheetViews>
  <sheetFormatPr defaultRowHeight="12.75" x14ac:dyDescent="0.2"/>
  <cols>
    <col min="1" max="1" width="13.140625" customWidth="1"/>
    <col min="2" max="2" width="14.28515625" customWidth="1"/>
    <col min="3" max="4" width="11.5703125" customWidth="1"/>
    <col min="5" max="5" width="11.140625" customWidth="1"/>
    <col min="6" max="6" width="12.28515625" customWidth="1"/>
    <col min="8" max="8" width="12.140625" customWidth="1"/>
    <col min="9" max="9" width="11" customWidth="1"/>
    <col min="11" max="11" width="11.7109375" customWidth="1"/>
    <col min="12" max="12" width="13.7109375" customWidth="1"/>
    <col min="13" max="13" width="12.28515625" customWidth="1"/>
    <col min="14" max="15" width="11.28515625" customWidth="1"/>
    <col min="16" max="16" width="24.42578125" customWidth="1"/>
    <col min="17" max="17" width="22.5703125" customWidth="1"/>
    <col min="18" max="18" width="15.85546875" customWidth="1"/>
    <col min="19" max="20" width="16.28515625" style="133" customWidth="1"/>
    <col min="21" max="21" width="15.85546875" style="133" customWidth="1"/>
    <col min="22" max="22" width="18" style="133" customWidth="1"/>
    <col min="23" max="23" width="14.7109375" style="133" customWidth="1"/>
    <col min="24" max="24" width="16.28515625" style="133" customWidth="1"/>
    <col min="25" max="25" width="14.7109375" style="133" customWidth="1"/>
    <col min="26" max="26" width="18.140625" style="133" customWidth="1"/>
    <col min="27" max="33" width="14.7109375" style="133" customWidth="1"/>
    <col min="34" max="34" width="14.42578125" style="133" customWidth="1"/>
    <col min="35" max="36" width="14.7109375" style="133" customWidth="1"/>
    <col min="37" max="37" width="11.5703125" style="133" customWidth="1"/>
    <col min="38" max="38" width="9.140625" style="133" customWidth="1"/>
    <col min="40" max="40" width="11.28515625" customWidth="1"/>
    <col min="41" max="41" width="11" customWidth="1"/>
    <col min="42" max="42" width="12" customWidth="1"/>
    <col min="43" max="43" width="13.28515625" customWidth="1"/>
    <col min="44" max="44" width="10.28515625" customWidth="1"/>
    <col min="45" max="45" width="11.7109375" customWidth="1"/>
    <col min="46" max="46" width="10.7109375" customWidth="1"/>
    <col min="47" max="47" width="13.28515625" customWidth="1"/>
    <col min="48" max="48" width="10" customWidth="1"/>
    <col min="49" max="49" width="13.28515625" customWidth="1"/>
    <col min="54" max="54" width="12.140625" customWidth="1"/>
    <col min="55" max="55" width="12.5703125" customWidth="1"/>
    <col min="56" max="57" width="12.28515625" customWidth="1"/>
    <col min="60" max="60" width="10.140625" customWidth="1"/>
  </cols>
  <sheetData>
    <row r="1" spans="1:79" ht="13.5" thickBot="1" x14ac:dyDescent="0.25">
      <c r="AM1" s="6"/>
      <c r="AP1" s="25"/>
      <c r="AV1" s="7"/>
      <c r="BA1" s="15"/>
      <c r="BB1" s="15"/>
      <c r="BC1" s="15"/>
      <c r="BD1" s="15"/>
      <c r="BE1" s="15"/>
      <c r="BF1" s="15"/>
      <c r="BG1" s="29"/>
      <c r="BH1" s="29"/>
      <c r="BI1" s="15"/>
      <c r="BJ1" s="15"/>
      <c r="BK1" s="15"/>
      <c r="BL1" s="15"/>
      <c r="BM1" s="15"/>
      <c r="BN1" s="29"/>
      <c r="BO1" s="29"/>
      <c r="BP1" s="29"/>
      <c r="BQ1" s="29"/>
      <c r="BR1" s="29"/>
      <c r="BS1" s="29"/>
      <c r="BT1" s="29"/>
      <c r="BU1" s="29"/>
      <c r="BV1" s="29"/>
      <c r="BW1" s="29"/>
      <c r="BX1" s="29"/>
      <c r="BY1" s="29"/>
      <c r="BZ1" s="29"/>
      <c r="CA1" s="29"/>
    </row>
    <row r="2" spans="1:79" ht="12.75" customHeight="1" thickTop="1" thickBot="1" x14ac:dyDescent="0.25">
      <c r="A2" s="309" t="s">
        <v>149</v>
      </c>
      <c r="B2" s="358"/>
      <c r="C2" s="358"/>
      <c r="D2" s="358"/>
      <c r="E2" s="408"/>
      <c r="F2" s="408"/>
      <c r="G2" s="408"/>
      <c r="H2" s="408"/>
      <c r="I2" s="408"/>
      <c r="J2" s="408"/>
      <c r="K2" s="408"/>
      <c r="L2" s="408"/>
      <c r="M2" s="408"/>
      <c r="N2" s="408"/>
      <c r="O2" s="15"/>
      <c r="P2" s="15"/>
      <c r="BL2" s="15"/>
      <c r="BM2" s="15"/>
      <c r="BN2" s="45"/>
      <c r="BO2" s="45"/>
      <c r="BP2" s="45"/>
      <c r="BQ2" s="45"/>
      <c r="BR2" s="29"/>
      <c r="BS2" s="29"/>
      <c r="BT2" s="29"/>
      <c r="BU2" s="29"/>
      <c r="BV2" s="45"/>
      <c r="BW2" s="45"/>
      <c r="BX2" s="45"/>
      <c r="BY2" s="45"/>
      <c r="BZ2" s="45"/>
      <c r="CA2" s="29"/>
    </row>
    <row r="3" spans="1:79" x14ac:dyDescent="0.2">
      <c r="A3" s="409" t="s">
        <v>0</v>
      </c>
      <c r="B3" s="410"/>
      <c r="C3" s="410"/>
      <c r="D3" s="410"/>
      <c r="E3" s="410"/>
      <c r="F3" s="410"/>
      <c r="G3" s="411"/>
      <c r="H3" s="412" t="s">
        <v>8</v>
      </c>
      <c r="I3" s="413"/>
      <c r="J3" s="413"/>
      <c r="K3" s="413"/>
      <c r="L3" s="413"/>
      <c r="M3" s="413"/>
      <c r="N3" s="413"/>
      <c r="O3" s="25"/>
      <c r="P3" s="25"/>
      <c r="T3" s="133" t="s">
        <v>556</v>
      </c>
      <c r="Y3" s="133" t="s">
        <v>557</v>
      </c>
      <c r="BL3" s="15"/>
      <c r="BM3" s="15"/>
      <c r="BN3" s="45"/>
      <c r="BO3" s="45"/>
      <c r="BP3" s="45"/>
      <c r="BQ3" s="45"/>
      <c r="BR3" s="29"/>
      <c r="BS3" s="29"/>
      <c r="BT3" s="29"/>
      <c r="BU3" s="29"/>
      <c r="BV3" s="45"/>
      <c r="BW3" s="45"/>
      <c r="BX3" s="45"/>
      <c r="BY3" s="45"/>
      <c r="BZ3" s="45"/>
      <c r="CA3" s="29"/>
    </row>
    <row r="4" spans="1:79" ht="12.75" customHeight="1" x14ac:dyDescent="0.2">
      <c r="A4" s="421" t="s">
        <v>1</v>
      </c>
      <c r="B4" s="421"/>
      <c r="C4" s="421"/>
      <c r="D4" s="20"/>
      <c r="E4" s="422" t="s">
        <v>642</v>
      </c>
      <c r="F4" s="423"/>
      <c r="G4" s="424"/>
      <c r="H4" s="425" t="s">
        <v>9</v>
      </c>
      <c r="I4" s="421"/>
      <c r="J4" s="426"/>
      <c r="K4" s="422" t="s">
        <v>645</v>
      </c>
      <c r="L4" s="423"/>
      <c r="M4" s="423"/>
      <c r="N4" s="423"/>
      <c r="O4" s="29"/>
      <c r="P4" s="29"/>
      <c r="BL4" s="15"/>
      <c r="BM4" s="15"/>
      <c r="BN4" s="45"/>
      <c r="BO4" s="45"/>
      <c r="BP4" s="45"/>
      <c r="BQ4" s="45"/>
      <c r="BR4" s="29"/>
      <c r="BS4" s="29"/>
      <c r="BT4" s="29"/>
      <c r="BU4" s="29"/>
      <c r="BV4" s="46"/>
      <c r="BW4" s="46"/>
      <c r="BX4" s="45"/>
      <c r="BY4" s="45"/>
      <c r="BZ4" s="45"/>
      <c r="CA4" s="29"/>
    </row>
    <row r="5" spans="1:79" ht="15.75" x14ac:dyDescent="0.2">
      <c r="A5" s="414" t="s">
        <v>2</v>
      </c>
      <c r="B5" s="414"/>
      <c r="C5" s="414"/>
      <c r="D5" s="16"/>
      <c r="E5" s="415" t="s">
        <v>643</v>
      </c>
      <c r="F5" s="416"/>
      <c r="G5" s="417"/>
      <c r="H5" s="418" t="s">
        <v>10</v>
      </c>
      <c r="I5" s="419"/>
      <c r="J5" s="420"/>
      <c r="K5" s="415" t="s">
        <v>646</v>
      </c>
      <c r="L5" s="416"/>
      <c r="M5" s="416"/>
      <c r="N5" s="416"/>
      <c r="O5" s="134"/>
      <c r="P5" s="134"/>
      <c r="T5" s="53" t="s">
        <v>349</v>
      </c>
      <c r="U5"/>
      <c r="V5" s="55">
        <f>POWER($J$26,-0.614)*0.3566</f>
        <v>4.4180323182145667E-2</v>
      </c>
      <c r="Y5"/>
      <c r="Z5"/>
      <c r="AA5"/>
      <c r="BL5" s="15"/>
      <c r="BM5" s="15"/>
      <c r="BN5" s="45"/>
      <c r="BO5" s="45"/>
      <c r="BP5" s="45"/>
      <c r="BQ5" s="45"/>
      <c r="BR5" s="45"/>
      <c r="BS5" s="45"/>
      <c r="BT5" s="29"/>
      <c r="BU5" s="29"/>
      <c r="BV5" s="46"/>
      <c r="BW5" s="46"/>
      <c r="BX5" s="45"/>
      <c r="BY5" s="45"/>
      <c r="BZ5" s="45"/>
      <c r="CA5" s="29"/>
    </row>
    <row r="6" spans="1:79" ht="15.75" x14ac:dyDescent="0.3">
      <c r="A6" s="414" t="s">
        <v>3</v>
      </c>
      <c r="B6" s="414"/>
      <c r="C6" s="414"/>
      <c r="D6" s="16"/>
      <c r="E6" s="427" t="s">
        <v>644</v>
      </c>
      <c r="F6" s="416"/>
      <c r="G6" s="417"/>
      <c r="H6" s="418" t="s">
        <v>11</v>
      </c>
      <c r="I6" s="419"/>
      <c r="J6" s="420"/>
      <c r="K6" s="415" t="s">
        <v>647</v>
      </c>
      <c r="L6" s="416"/>
      <c r="M6" s="416"/>
      <c r="N6" s="416"/>
      <c r="O6" s="134"/>
      <c r="P6" s="134"/>
      <c r="T6" s="110"/>
      <c r="U6" s="110"/>
      <c r="V6" s="110"/>
      <c r="Y6" s="121" t="s">
        <v>207</v>
      </c>
      <c r="Z6" s="55">
        <f>IF('Reference Tables (Segment)'!$C$122="No",(VLOOKUP($J$9,'Reference Tables (Segment)'!$A$124:$M$128,4,FALSE)),(VLOOKUP($J$9,'Reference Tables (Segment)'!$A$124:$M$128,9,FALSE)))</f>
        <v>0.42399999999999999</v>
      </c>
      <c r="AA6" s="28"/>
      <c r="BL6" s="15"/>
      <c r="BM6" s="15"/>
      <c r="BN6" s="28"/>
      <c r="BO6" s="28"/>
      <c r="BP6" s="28"/>
      <c r="BQ6" s="28"/>
      <c r="BR6" s="28"/>
      <c r="BS6" s="28"/>
      <c r="BT6" s="29"/>
      <c r="BU6" s="29"/>
      <c r="BV6" s="32"/>
      <c r="BW6" s="25"/>
      <c r="BX6" s="28"/>
      <c r="BY6" s="28"/>
      <c r="BZ6" s="28"/>
      <c r="CA6" s="29"/>
    </row>
    <row r="7" spans="1:79" x14ac:dyDescent="0.2">
      <c r="A7" s="432"/>
      <c r="B7" s="432"/>
      <c r="C7" s="432"/>
      <c r="D7" s="23"/>
      <c r="E7" s="418"/>
      <c r="F7" s="419"/>
      <c r="G7" s="420"/>
      <c r="H7" s="418" t="s">
        <v>12</v>
      </c>
      <c r="I7" s="419"/>
      <c r="J7" s="420"/>
      <c r="K7" s="433">
        <v>2019</v>
      </c>
      <c r="L7" s="434"/>
      <c r="M7" s="434"/>
      <c r="N7" s="434"/>
      <c r="O7" s="29"/>
      <c r="P7" s="29"/>
      <c r="T7" s="110"/>
      <c r="U7" s="110"/>
      <c r="V7" s="110"/>
      <c r="Y7"/>
      <c r="Z7"/>
      <c r="AA7"/>
      <c r="BL7" s="15"/>
      <c r="BM7" s="15"/>
      <c r="BN7" s="28"/>
      <c r="BO7" s="28"/>
      <c r="BP7" s="28"/>
      <c r="BQ7" s="28"/>
      <c r="BR7" s="28"/>
      <c r="BS7" s="28"/>
      <c r="BT7" s="29"/>
      <c r="BU7" s="29"/>
      <c r="BV7" s="25"/>
      <c r="BW7" s="25"/>
      <c r="BX7" s="28"/>
      <c r="BY7" s="28"/>
      <c r="BZ7" s="28"/>
      <c r="CA7" s="29"/>
    </row>
    <row r="8" spans="1:79" ht="15.75" x14ac:dyDescent="0.3">
      <c r="A8" s="428" t="s">
        <v>4</v>
      </c>
      <c r="B8" s="429"/>
      <c r="C8" s="429"/>
      <c r="D8" s="429"/>
      <c r="E8" s="429"/>
      <c r="F8" s="429"/>
      <c r="G8" s="430"/>
      <c r="H8" s="431" t="s">
        <v>13</v>
      </c>
      <c r="I8" s="430"/>
      <c r="J8" s="431" t="s">
        <v>15</v>
      </c>
      <c r="K8" s="429"/>
      <c r="L8" s="429"/>
      <c r="M8" s="429"/>
      <c r="N8" s="429"/>
      <c r="O8" s="29"/>
      <c r="P8" s="29"/>
      <c r="T8" s="31" t="s">
        <v>351</v>
      </c>
      <c r="U8"/>
      <c r="V8" s="56">
        <f>$V$5*$J$25*(IF('Reference Tables (Segment)'!$C$108="No",(VLOOKUP($J$9,'Reference Tables (Segment)'!$A$110:$G$114,4,FALSE)),(VLOOKUP($J$9,'Reference Tables (Segment)'!$A$110:$G$114,6,FALSE))))+(1-(IF('Reference Tables (Segment)'!$C$108="No",(VLOOKUP($J$9,'Reference Tables (Segment)'!$A$110:$G$114,4,FALSE)),(VLOOKUP($J$9,'Reference Tables (Segment)'!$A$110:$G$114,6,FALSE)))))</f>
        <v>0.94100000000000006</v>
      </c>
      <c r="Y8" s="121" t="s">
        <v>208</v>
      </c>
      <c r="Z8" s="55">
        <f>IF('Reference Tables (Segment)'!$C$122="No",(VLOOKUP($J$9,'Reference Tables (Segment)'!$A$124:$M$128,6,FALSE)),(VLOOKUP($J$9,'Reference Tables (Segment)'!$A$124:$M$128,11,FALSE)))</f>
        <v>0.57599999999999996</v>
      </c>
      <c r="AA8"/>
      <c r="BL8" s="15"/>
      <c r="BM8" s="15"/>
      <c r="BN8" s="28"/>
      <c r="BO8" s="28"/>
      <c r="BP8" s="28"/>
      <c r="BQ8" s="28"/>
      <c r="BR8" s="28"/>
      <c r="BS8" s="28"/>
      <c r="BT8" s="29"/>
      <c r="BU8" s="29"/>
      <c r="BV8" s="32"/>
      <c r="BW8" s="25"/>
      <c r="BX8" s="28"/>
      <c r="BY8" s="28"/>
      <c r="BZ8" s="28"/>
      <c r="CA8" s="29"/>
    </row>
    <row r="9" spans="1:79" x14ac:dyDescent="0.2">
      <c r="A9" s="439" t="s">
        <v>150</v>
      </c>
      <c r="B9" s="435"/>
      <c r="C9" s="435"/>
      <c r="D9" s="435"/>
      <c r="E9" s="435"/>
      <c r="F9" s="435"/>
      <c r="G9" s="332"/>
      <c r="H9" s="440" t="s">
        <v>14</v>
      </c>
      <c r="I9" s="426"/>
      <c r="J9" s="441" t="s">
        <v>167</v>
      </c>
      <c r="K9" s="442"/>
      <c r="L9" s="442"/>
      <c r="M9" s="442"/>
      <c r="N9" s="442"/>
      <c r="O9" s="29"/>
      <c r="P9" t="str">
        <f>IF($J$9="2U","Two-lane undivided arterials",IF($J$9="3T","Three-lane arterials including a center two-way left-turn lane (TWLTL)", IF($J$9="4U","Four-lane undivided arterials", IF($J$9="4D", "Four-lane divided arterials (i.e., including a raised or depressed median)","Five-lane arterials including a center two-way left-turn lane (TWLTL)"))))</f>
        <v>Two-lane undivided arterials</v>
      </c>
      <c r="T9" s="45"/>
      <c r="U9" s="45"/>
      <c r="V9" s="45"/>
      <c r="Y9"/>
      <c r="Z9"/>
      <c r="AA9"/>
      <c r="BL9" s="15"/>
      <c r="BM9" s="15"/>
      <c r="BN9" s="28"/>
      <c r="BO9" s="28"/>
      <c r="BP9" s="28"/>
      <c r="BQ9" s="28"/>
      <c r="BR9" s="28"/>
      <c r="BS9" s="28"/>
      <c r="BT9" s="29"/>
      <c r="BU9" s="29"/>
      <c r="BV9" s="25"/>
      <c r="BW9" s="25"/>
      <c r="BX9" s="28"/>
      <c r="BY9" s="28"/>
      <c r="BZ9" s="28"/>
      <c r="CA9" s="29"/>
    </row>
    <row r="10" spans="1:79" ht="16.5" thickBot="1" x14ac:dyDescent="0.35">
      <c r="A10" s="435" t="s">
        <v>5</v>
      </c>
      <c r="B10" s="435"/>
      <c r="C10" s="435"/>
      <c r="D10" s="435"/>
      <c r="E10" s="421"/>
      <c r="F10" s="421"/>
      <c r="G10" s="426"/>
      <c r="H10" s="436" t="s">
        <v>14</v>
      </c>
      <c r="I10" s="332"/>
      <c r="J10" s="437">
        <v>1</v>
      </c>
      <c r="K10" s="423"/>
      <c r="L10" s="423"/>
      <c r="M10" s="423"/>
      <c r="N10" s="423"/>
      <c r="O10" s="29"/>
      <c r="P10" s="29"/>
      <c r="T10" s="31" t="s">
        <v>352</v>
      </c>
      <c r="U10" s="45"/>
      <c r="V10" s="56">
        <f>IF(+V8&lt;1,1,V8)</f>
        <v>1</v>
      </c>
      <c r="Y10" s="121" t="s">
        <v>209</v>
      </c>
      <c r="Z10" s="55">
        <f>IF('Reference Tables (Segment)'!$C$122="No",(VLOOKUP($J$9,'Reference Tables (Segment)'!$A$124:$M$128,7,FALSE)),(VLOOKUP($J$9,'Reference Tables (Segment)'!$A$124:$M$128,12,FALSE)))</f>
        <v>0.316</v>
      </c>
      <c r="AA10"/>
      <c r="BL10" s="15"/>
      <c r="BM10" s="15"/>
      <c r="BN10" s="29"/>
      <c r="BO10" s="29"/>
      <c r="BP10" s="29"/>
      <c r="BQ10" s="29"/>
      <c r="BR10" s="29"/>
      <c r="BS10" s="29"/>
      <c r="BT10" s="29"/>
      <c r="BU10" s="29"/>
      <c r="BV10" s="32"/>
      <c r="BW10" s="25"/>
      <c r="BX10" s="28"/>
      <c r="BY10" s="28"/>
      <c r="BZ10" s="28"/>
      <c r="CA10" s="29"/>
    </row>
    <row r="11" spans="1:79" ht="16.5" thickBot="1" x14ac:dyDescent="0.35">
      <c r="A11" s="435" t="s">
        <v>6</v>
      </c>
      <c r="B11" s="435"/>
      <c r="C11" s="435"/>
      <c r="D11" s="435"/>
      <c r="E11" s="207" t="s">
        <v>607</v>
      </c>
      <c r="F11" s="209">
        <f>IF($J$9="2U",32600,IF($J$9="3T",32900,IF($J$9="4U",40100,IF($J$9="4D",66000,53800))))</f>
        <v>32600</v>
      </c>
      <c r="G11" s="208" t="s">
        <v>606</v>
      </c>
      <c r="H11" s="443" t="s">
        <v>14</v>
      </c>
      <c r="I11" s="332"/>
      <c r="J11" s="448">
        <v>0</v>
      </c>
      <c r="K11" s="449"/>
      <c r="L11" s="449"/>
      <c r="M11" s="449"/>
      <c r="N11" s="449"/>
      <c r="O11" s="135" t="str">
        <f>IF(J11&gt;F11,"AADT out of range","AADT OK")</f>
        <v>AADT OK</v>
      </c>
      <c r="P11" s="135"/>
      <c r="T11" s="29"/>
      <c r="U11" s="45"/>
      <c r="V11" s="45"/>
      <c r="Y11"/>
      <c r="Z11"/>
      <c r="AA11"/>
      <c r="BL11" s="15"/>
      <c r="BM11" s="15"/>
      <c r="BN11" s="29"/>
      <c r="BO11" s="29"/>
      <c r="BP11" s="29"/>
      <c r="BQ11" s="29"/>
      <c r="BR11" s="29"/>
      <c r="BS11" s="29"/>
      <c r="BT11" s="29"/>
      <c r="BU11" s="29"/>
      <c r="BV11" s="25"/>
      <c r="BW11" s="25"/>
      <c r="BX11" s="28"/>
      <c r="BY11" s="28"/>
      <c r="BZ11" s="28"/>
      <c r="CA11" s="29"/>
    </row>
    <row r="12" spans="1:79" x14ac:dyDescent="0.2">
      <c r="A12" s="435" t="s">
        <v>151</v>
      </c>
      <c r="B12" s="435"/>
      <c r="C12" s="435"/>
      <c r="D12" s="435"/>
      <c r="E12" s="432"/>
      <c r="F12" s="432"/>
      <c r="G12" s="452"/>
      <c r="H12" s="438" t="s">
        <v>170</v>
      </c>
      <c r="I12" s="332"/>
      <c r="J12" s="453" t="s">
        <v>170</v>
      </c>
      <c r="K12" s="447"/>
      <c r="L12" s="447"/>
      <c r="M12" s="447"/>
      <c r="N12" s="447"/>
      <c r="O12" s="25"/>
      <c r="P12" s="25"/>
      <c r="BL12" s="15"/>
      <c r="BM12" s="15"/>
      <c r="BN12" s="29"/>
      <c r="BO12" s="29"/>
      <c r="BP12" s="29"/>
      <c r="BQ12" s="29"/>
      <c r="BR12" s="29"/>
      <c r="BS12" s="29"/>
      <c r="BT12" s="29"/>
      <c r="BU12" s="29"/>
      <c r="BV12" s="32"/>
      <c r="BW12" s="25"/>
      <c r="BX12" s="28"/>
      <c r="BY12" s="28"/>
      <c r="BZ12" s="28"/>
      <c r="CA12" s="29"/>
    </row>
    <row r="13" spans="1:79" x14ac:dyDescent="0.2">
      <c r="A13" s="439" t="s">
        <v>152</v>
      </c>
      <c r="B13" s="435"/>
      <c r="C13" s="435"/>
      <c r="D13" s="435"/>
      <c r="E13" s="435"/>
      <c r="F13" s="435"/>
      <c r="G13" s="332"/>
      <c r="H13" s="436" t="s">
        <v>14</v>
      </c>
      <c r="I13" s="332"/>
      <c r="J13" s="450">
        <v>0</v>
      </c>
      <c r="K13" s="451"/>
      <c r="L13" s="451"/>
      <c r="M13" s="451"/>
      <c r="N13" s="451"/>
      <c r="O13" s="29"/>
      <c r="P13" s="29"/>
      <c r="BL13" s="15"/>
      <c r="BM13" s="15"/>
      <c r="BN13" s="29"/>
      <c r="BO13" s="29"/>
      <c r="BP13" s="29"/>
      <c r="BQ13" s="29"/>
      <c r="BR13" s="29"/>
      <c r="BS13" s="29"/>
      <c r="BT13" s="29"/>
      <c r="BU13" s="29"/>
      <c r="BV13" s="80"/>
      <c r="BW13" s="75"/>
      <c r="BX13" s="75"/>
      <c r="BY13" s="75"/>
      <c r="BZ13" s="75"/>
      <c r="CA13" s="29"/>
    </row>
    <row r="14" spans="1:79" x14ac:dyDescent="0.2">
      <c r="A14" s="439" t="s">
        <v>85</v>
      </c>
      <c r="B14" s="435"/>
      <c r="C14" s="435"/>
      <c r="D14" s="435"/>
      <c r="E14" s="435"/>
      <c r="F14" s="435"/>
      <c r="G14" s="332"/>
      <c r="H14" s="444">
        <v>15</v>
      </c>
      <c r="I14" s="332"/>
      <c r="J14" s="445">
        <v>15</v>
      </c>
      <c r="K14" s="446"/>
      <c r="L14" s="446"/>
      <c r="M14" s="446"/>
      <c r="N14" s="446"/>
      <c r="O14" s="29"/>
      <c r="P14" s="29"/>
      <c r="BL14" s="15"/>
      <c r="BM14" s="15"/>
      <c r="BN14" s="29"/>
      <c r="BO14" s="29"/>
      <c r="BP14" s="29"/>
      <c r="BQ14" s="29"/>
      <c r="BR14" s="29"/>
      <c r="BS14" s="29"/>
      <c r="BT14" s="29"/>
      <c r="BU14" s="29"/>
      <c r="BV14" s="75"/>
      <c r="BW14" s="75"/>
      <c r="BX14" s="75"/>
      <c r="BY14" s="75"/>
      <c r="BZ14" s="75"/>
      <c r="CA14" s="29"/>
    </row>
    <row r="15" spans="1:79" x14ac:dyDescent="0.2">
      <c r="A15" s="439" t="s">
        <v>153</v>
      </c>
      <c r="B15" s="435"/>
      <c r="C15" s="435"/>
      <c r="D15" s="435"/>
      <c r="E15" s="435"/>
      <c r="F15" s="435"/>
      <c r="G15" s="332"/>
      <c r="H15" s="438" t="s">
        <v>59</v>
      </c>
      <c r="I15" s="336"/>
      <c r="J15" s="447" t="s">
        <v>59</v>
      </c>
      <c r="K15" s="447"/>
      <c r="L15" s="447"/>
      <c r="M15" s="447"/>
      <c r="N15" s="447"/>
      <c r="O15" s="25"/>
      <c r="P15" s="25"/>
      <c r="BL15" s="15"/>
      <c r="BM15" s="15"/>
      <c r="BN15" s="29"/>
      <c r="BO15" s="29"/>
      <c r="BP15" s="29"/>
      <c r="BQ15" s="29"/>
      <c r="BR15" s="29"/>
      <c r="BS15" s="29"/>
      <c r="BT15" s="29"/>
      <c r="BU15" s="29"/>
      <c r="BV15" s="75"/>
      <c r="BW15" s="75"/>
      <c r="BX15" s="75"/>
      <c r="BY15" s="75"/>
      <c r="BZ15" s="75"/>
      <c r="CA15" s="29"/>
    </row>
    <row r="16" spans="1:79" x14ac:dyDescent="0.2">
      <c r="A16" s="439" t="s">
        <v>154</v>
      </c>
      <c r="B16" s="435"/>
      <c r="C16" s="435"/>
      <c r="D16" s="435"/>
      <c r="E16" s="435"/>
      <c r="F16" s="435"/>
      <c r="G16" s="332"/>
      <c r="H16" s="438" t="s">
        <v>59</v>
      </c>
      <c r="I16" s="336"/>
      <c r="J16" s="447" t="s">
        <v>59</v>
      </c>
      <c r="K16" s="447"/>
      <c r="L16" s="447"/>
      <c r="M16" s="447"/>
      <c r="N16" s="447"/>
      <c r="O16" s="25"/>
      <c r="P16" s="25"/>
      <c r="BL16" s="28"/>
      <c r="BM16" s="29"/>
      <c r="BN16" s="29"/>
      <c r="BO16" s="29"/>
      <c r="BP16" s="29"/>
      <c r="BQ16" s="29"/>
      <c r="BR16" s="29"/>
      <c r="BS16" s="29"/>
      <c r="BT16" s="29"/>
    </row>
    <row r="17" spans="1:72" x14ac:dyDescent="0.2">
      <c r="A17" s="439" t="s">
        <v>155</v>
      </c>
      <c r="B17" s="435"/>
      <c r="C17" s="435"/>
      <c r="D17" s="435"/>
      <c r="E17" s="435"/>
      <c r="F17" s="435"/>
      <c r="G17" s="332"/>
      <c r="H17" s="436" t="s">
        <v>14</v>
      </c>
      <c r="I17" s="332"/>
      <c r="J17" s="450">
        <v>0</v>
      </c>
      <c r="K17" s="451"/>
      <c r="L17" s="451"/>
      <c r="M17" s="451"/>
      <c r="N17" s="451"/>
      <c r="O17" s="29"/>
      <c r="P17" s="29"/>
      <c r="BL17" s="29"/>
      <c r="BM17" s="29"/>
      <c r="BN17" s="29"/>
      <c r="BO17" s="29"/>
      <c r="BP17" s="29"/>
      <c r="BQ17" s="29"/>
      <c r="BR17" s="29"/>
      <c r="BS17" s="29"/>
      <c r="BT17" s="29"/>
    </row>
    <row r="18" spans="1:72" x14ac:dyDescent="0.2">
      <c r="A18" s="439" t="s">
        <v>156</v>
      </c>
      <c r="B18" s="435"/>
      <c r="C18" s="435"/>
      <c r="D18" s="435"/>
      <c r="E18" s="435"/>
      <c r="F18" s="435"/>
      <c r="G18" s="332"/>
      <c r="H18" s="436" t="s">
        <v>14</v>
      </c>
      <c r="I18" s="332"/>
      <c r="J18" s="450">
        <v>0</v>
      </c>
      <c r="K18" s="451"/>
      <c r="L18" s="451"/>
      <c r="M18" s="451"/>
      <c r="N18" s="451"/>
      <c r="O18" s="29"/>
      <c r="P18" s="29"/>
    </row>
    <row r="19" spans="1:72" x14ac:dyDescent="0.2">
      <c r="A19" s="439" t="s">
        <v>157</v>
      </c>
      <c r="B19" s="435"/>
      <c r="C19" s="435"/>
      <c r="D19" s="435"/>
      <c r="E19" s="435"/>
      <c r="F19" s="435"/>
      <c r="G19" s="332"/>
      <c r="H19" s="436" t="s">
        <v>14</v>
      </c>
      <c r="I19" s="332"/>
      <c r="J19" s="450">
        <v>0</v>
      </c>
      <c r="K19" s="451"/>
      <c r="L19" s="451"/>
      <c r="M19" s="451"/>
      <c r="N19" s="451"/>
      <c r="O19" s="10"/>
      <c r="P19" s="10"/>
    </row>
    <row r="20" spans="1:72" ht="12.75" customHeight="1" x14ac:dyDescent="0.2">
      <c r="A20" s="439" t="s">
        <v>158</v>
      </c>
      <c r="B20" s="435"/>
      <c r="C20" s="435"/>
      <c r="D20" s="435"/>
      <c r="E20" s="435"/>
      <c r="F20" s="435"/>
      <c r="G20" s="332"/>
      <c r="H20" s="436" t="s">
        <v>14</v>
      </c>
      <c r="I20" s="332"/>
      <c r="J20" s="450">
        <v>0</v>
      </c>
      <c r="K20" s="451"/>
      <c r="L20" s="451"/>
      <c r="M20" s="451"/>
      <c r="N20" s="451"/>
      <c r="O20" s="29"/>
      <c r="P20" s="29"/>
    </row>
    <row r="21" spans="1:72" x14ac:dyDescent="0.2">
      <c r="A21" s="460" t="s">
        <v>159</v>
      </c>
      <c r="B21" s="435"/>
      <c r="C21" s="435"/>
      <c r="D21" s="435"/>
      <c r="E21" s="435"/>
      <c r="F21" s="435"/>
      <c r="G21" s="332"/>
      <c r="H21" s="436" t="s">
        <v>14</v>
      </c>
      <c r="I21" s="332"/>
      <c r="J21" s="450">
        <v>0</v>
      </c>
      <c r="K21" s="451"/>
      <c r="L21" s="451"/>
      <c r="M21" s="451"/>
      <c r="N21" s="451"/>
      <c r="O21" s="29"/>
      <c r="P21" s="29"/>
    </row>
    <row r="22" spans="1:72" x14ac:dyDescent="0.2">
      <c r="A22" s="439" t="s">
        <v>160</v>
      </c>
      <c r="B22" s="435"/>
      <c r="C22" s="435"/>
      <c r="D22" s="435"/>
      <c r="E22" s="435"/>
      <c r="F22" s="435"/>
      <c r="G22" s="332"/>
      <c r="H22" s="436" t="s">
        <v>14</v>
      </c>
      <c r="I22" s="332"/>
      <c r="J22" s="450">
        <v>0</v>
      </c>
      <c r="K22" s="451"/>
      <c r="L22" s="451"/>
      <c r="M22" s="451"/>
      <c r="N22" s="451"/>
      <c r="O22" s="10"/>
      <c r="P22" s="10"/>
    </row>
    <row r="23" spans="1:72" x14ac:dyDescent="0.2">
      <c r="A23" s="439" t="s">
        <v>161</v>
      </c>
      <c r="B23" s="435"/>
      <c r="C23" s="435"/>
      <c r="D23" s="435"/>
      <c r="E23" s="435"/>
      <c r="F23" s="435"/>
      <c r="G23" s="332"/>
      <c r="H23" s="436" t="s">
        <v>14</v>
      </c>
      <c r="I23" s="332"/>
      <c r="J23" s="450">
        <v>0</v>
      </c>
      <c r="K23" s="451"/>
      <c r="L23" s="451"/>
      <c r="M23" s="451"/>
      <c r="N23" s="451"/>
      <c r="O23" s="10"/>
      <c r="P23" s="10"/>
    </row>
    <row r="24" spans="1:72" x14ac:dyDescent="0.2">
      <c r="A24" s="439" t="s">
        <v>162</v>
      </c>
      <c r="B24" s="435"/>
      <c r="C24" s="435"/>
      <c r="D24" s="435"/>
      <c r="E24" s="435"/>
      <c r="F24" s="435"/>
      <c r="G24" s="332"/>
      <c r="H24" s="436" t="s">
        <v>14</v>
      </c>
      <c r="I24" s="332"/>
      <c r="J24" s="453" t="s">
        <v>340</v>
      </c>
      <c r="K24" s="447"/>
      <c r="L24" s="447"/>
      <c r="M24" s="447"/>
      <c r="N24" s="447"/>
      <c r="O24" s="10"/>
      <c r="P24" s="10"/>
    </row>
    <row r="25" spans="1:72" x14ac:dyDescent="0.2">
      <c r="A25" s="439" t="s">
        <v>163</v>
      </c>
      <c r="B25" s="435"/>
      <c r="C25" s="435"/>
      <c r="D25" s="435"/>
      <c r="E25" s="435"/>
      <c r="F25" s="435"/>
      <c r="G25" s="332"/>
      <c r="H25" s="438">
        <v>0</v>
      </c>
      <c r="I25" s="336"/>
      <c r="J25" s="450">
        <v>0</v>
      </c>
      <c r="K25" s="454"/>
      <c r="L25" s="454"/>
      <c r="M25" s="454"/>
      <c r="N25" s="454"/>
      <c r="O25" s="25"/>
      <c r="P25" s="25"/>
    </row>
    <row r="26" spans="1:72" x14ac:dyDescent="0.2">
      <c r="A26" s="439" t="s">
        <v>350</v>
      </c>
      <c r="B26" s="435"/>
      <c r="C26" s="435"/>
      <c r="D26" s="435"/>
      <c r="E26" s="435"/>
      <c r="F26" s="435"/>
      <c r="G26" s="332"/>
      <c r="H26" s="438">
        <v>30</v>
      </c>
      <c r="I26" s="336"/>
      <c r="J26" s="450">
        <v>30</v>
      </c>
      <c r="K26" s="454"/>
      <c r="L26" s="454"/>
      <c r="M26" s="454"/>
      <c r="N26" s="454"/>
      <c r="O26" s="25"/>
      <c r="P26" s="25"/>
    </row>
    <row r="27" spans="1:72" ht="13.5" thickBot="1" x14ac:dyDescent="0.25">
      <c r="A27" s="457" t="s">
        <v>7</v>
      </c>
      <c r="B27" s="457"/>
      <c r="C27" s="457"/>
      <c r="D27" s="457"/>
      <c r="E27" s="457"/>
      <c r="F27" s="457"/>
      <c r="G27" s="458"/>
      <c r="H27" s="471">
        <v>1</v>
      </c>
      <c r="I27" s="472"/>
      <c r="J27" s="473">
        <v>1</v>
      </c>
      <c r="K27" s="474"/>
      <c r="L27" s="474"/>
      <c r="M27" s="474"/>
      <c r="N27" s="474"/>
      <c r="O27" s="29"/>
      <c r="P27" s="29"/>
    </row>
    <row r="28" spans="1:72" ht="13.5" thickTop="1" x14ac:dyDescent="0.2">
      <c r="A28" s="109"/>
      <c r="B28" s="109"/>
      <c r="C28" s="109"/>
      <c r="D28" s="109"/>
      <c r="E28" s="109"/>
      <c r="F28" s="109"/>
      <c r="G28" s="109"/>
      <c r="H28" s="109"/>
      <c r="I28" s="109"/>
      <c r="J28" s="109"/>
      <c r="K28" s="109"/>
      <c r="L28" s="109"/>
      <c r="M28" s="109"/>
      <c r="N28" s="109"/>
      <c r="O28" s="10"/>
      <c r="P28" s="10"/>
    </row>
    <row r="29" spans="1:72" x14ac:dyDescent="0.2">
      <c r="A29" s="22"/>
      <c r="B29" s="22"/>
      <c r="C29" s="22"/>
      <c r="D29" s="22"/>
      <c r="E29" s="22"/>
      <c r="F29" s="22"/>
      <c r="G29" s="22"/>
      <c r="H29" s="22"/>
      <c r="I29" s="22"/>
      <c r="J29" s="22"/>
      <c r="K29" s="22"/>
      <c r="L29" s="22"/>
      <c r="M29" s="22"/>
      <c r="N29" s="22"/>
      <c r="O29" s="10"/>
      <c r="P29" s="10"/>
    </row>
    <row r="30" spans="1:72" ht="13.5" thickBot="1" x14ac:dyDescent="0.25"/>
    <row r="31" spans="1:72" ht="14.25" thickTop="1" thickBot="1" x14ac:dyDescent="0.25">
      <c r="A31" s="468" t="s">
        <v>171</v>
      </c>
      <c r="B31" s="469"/>
      <c r="C31" s="469"/>
      <c r="D31" s="469"/>
      <c r="E31" s="469"/>
      <c r="F31" s="469"/>
      <c r="G31" s="469"/>
      <c r="H31" s="469"/>
      <c r="I31" s="469"/>
      <c r="J31" s="469"/>
      <c r="K31" s="469"/>
      <c r="L31" s="469"/>
      <c r="M31" s="469"/>
      <c r="N31" s="469"/>
      <c r="O31" s="124"/>
      <c r="P31" s="124"/>
    </row>
    <row r="32" spans="1:72" x14ac:dyDescent="0.2">
      <c r="A32" s="470" t="s">
        <v>16</v>
      </c>
      <c r="B32" s="459"/>
      <c r="C32" s="455" t="s">
        <v>17</v>
      </c>
      <c r="D32" s="455"/>
      <c r="E32" s="459"/>
      <c r="F32" s="455" t="s">
        <v>18</v>
      </c>
      <c r="G32" s="459"/>
      <c r="H32" s="455" t="s">
        <v>19</v>
      </c>
      <c r="I32" s="459"/>
      <c r="J32" s="455" t="s">
        <v>20</v>
      </c>
      <c r="K32" s="459"/>
      <c r="L32" s="459"/>
      <c r="M32" s="455" t="s">
        <v>21</v>
      </c>
      <c r="N32" s="456"/>
      <c r="O32" s="15"/>
      <c r="P32" s="15"/>
    </row>
    <row r="33" spans="1:65" x14ac:dyDescent="0.2">
      <c r="A33" s="463" t="s">
        <v>172</v>
      </c>
      <c r="B33" s="464"/>
      <c r="C33" s="467" t="s">
        <v>187</v>
      </c>
      <c r="D33" s="467"/>
      <c r="E33" s="464"/>
      <c r="F33" s="467" t="s">
        <v>86</v>
      </c>
      <c r="G33" s="464"/>
      <c r="H33" s="487" t="s">
        <v>29</v>
      </c>
      <c r="I33" s="464"/>
      <c r="J33" s="487" t="s">
        <v>30</v>
      </c>
      <c r="K33" s="464"/>
      <c r="L33" s="464"/>
      <c r="M33" s="467" t="s">
        <v>83</v>
      </c>
      <c r="N33" s="484"/>
      <c r="O33" s="17"/>
      <c r="P33" s="17"/>
    </row>
    <row r="34" spans="1:65" x14ac:dyDescent="0.2">
      <c r="A34" s="465"/>
      <c r="B34" s="466"/>
      <c r="C34" s="466"/>
      <c r="D34" s="466"/>
      <c r="E34" s="466"/>
      <c r="F34" s="466"/>
      <c r="G34" s="466"/>
      <c r="H34" s="466"/>
      <c r="I34" s="466"/>
      <c r="J34" s="466"/>
      <c r="K34" s="466"/>
      <c r="L34" s="466"/>
      <c r="M34" s="466"/>
      <c r="N34" s="485"/>
      <c r="O34" s="17"/>
      <c r="P34" s="17"/>
    </row>
    <row r="35" spans="1:65" x14ac:dyDescent="0.2">
      <c r="A35" s="462" t="s">
        <v>173</v>
      </c>
      <c r="B35" s="403"/>
      <c r="C35" s="401" t="s">
        <v>188</v>
      </c>
      <c r="D35" s="401"/>
      <c r="E35" s="403"/>
      <c r="F35" s="401" t="s">
        <v>198</v>
      </c>
      <c r="G35" s="403"/>
      <c r="H35" s="401" t="s">
        <v>200</v>
      </c>
      <c r="I35" s="403"/>
      <c r="J35" s="401" t="s">
        <v>210</v>
      </c>
      <c r="K35" s="403"/>
      <c r="L35" s="403"/>
      <c r="M35" s="401" t="s">
        <v>31</v>
      </c>
      <c r="N35" s="402"/>
      <c r="O35" s="15"/>
      <c r="P35" s="15"/>
      <c r="BL35" s="29"/>
      <c r="BM35" s="29"/>
    </row>
    <row r="36" spans="1:65" x14ac:dyDescent="0.2">
      <c r="A36" s="488" t="s">
        <v>174</v>
      </c>
      <c r="B36" s="283"/>
      <c r="C36" s="461" t="s">
        <v>189</v>
      </c>
      <c r="D36" s="461"/>
      <c r="E36" s="283"/>
      <c r="F36" s="461" t="s">
        <v>582</v>
      </c>
      <c r="G36" s="403"/>
      <c r="H36" s="461" t="s">
        <v>201</v>
      </c>
      <c r="I36" s="283"/>
      <c r="J36" s="461" t="s">
        <v>211</v>
      </c>
      <c r="K36" s="403"/>
      <c r="L36" s="403"/>
      <c r="M36" s="404" t="s">
        <v>87</v>
      </c>
      <c r="N36" s="402"/>
      <c r="O36" s="15"/>
      <c r="P36" s="15"/>
      <c r="BL36" s="45"/>
      <c r="BM36" s="45"/>
    </row>
    <row r="37" spans="1:65" ht="13.5" thickBot="1" x14ac:dyDescent="0.25">
      <c r="A37" s="480">
        <f>1+$J$13*(IF($J$12="None",1,(IF($J$12="Parallel (Residential)",VLOOKUP($J$9,'Reference Tables (Segment)'!$W$9:$AA$13,2,FALSE),(IF($J$12="Parallel (Comm/Ind)",VLOOKUP($J$9,'Reference Tables (Segment)'!$W$9:$AA$13,3,FALSE),(IF($J$12="Angle (Residential)",(VLOOKUP($J$9,'Reference Tables (Segment)'!$W$9:$AA$13,4,FALSE)),(VLOOKUP($J$9,'Reference Tables (Segment)'!$W$9:$AA$13,5,FALSE)))))))))-1)</f>
        <v>1</v>
      </c>
      <c r="B37" s="481"/>
      <c r="C37" s="405">
        <f>$V$10</f>
        <v>1</v>
      </c>
      <c r="D37" s="482"/>
      <c r="E37" s="481"/>
      <c r="F37" s="405">
        <f>IF(J14="Not Present", 1, IF(J9="2U",1,(IF(J9="4U",1,(VLOOKUP(J14,'Reference Tables (Segment)'!W41:Y51,3,FALSE))))))</f>
        <v>1</v>
      </c>
      <c r="G37" s="479"/>
      <c r="H37" s="405">
        <f>IF($J$15="Present",(1-($Z$10*(1-(0.72*$Z$6)-(0.83*$Z$8)))),1)</f>
        <v>1</v>
      </c>
      <c r="I37" s="479"/>
      <c r="J37" s="405">
        <f>IF($J$16="Present",0.95,1)</f>
        <v>1</v>
      </c>
      <c r="K37" s="480"/>
      <c r="L37" s="479"/>
      <c r="M37" s="405">
        <f>$A$37*$C$37*$F$37*$H$37*$J$37</f>
        <v>1</v>
      </c>
      <c r="N37" s="406"/>
      <c r="O37" s="25"/>
      <c r="P37" s="25"/>
      <c r="BL37" s="25"/>
      <c r="BM37" s="25"/>
    </row>
    <row r="38" spans="1:65" x14ac:dyDescent="0.2">
      <c r="BL38" s="45"/>
      <c r="BM38" s="29"/>
    </row>
    <row r="39" spans="1:65" x14ac:dyDescent="0.2">
      <c r="C39" s="483"/>
      <c r="D39" s="410"/>
      <c r="E39" s="410"/>
      <c r="BL39" s="45"/>
      <c r="BM39" s="29"/>
    </row>
    <row r="40" spans="1:65" ht="13.5" thickBot="1" x14ac:dyDescent="0.25">
      <c r="H40" s="28"/>
      <c r="I40" s="28"/>
      <c r="BL40" s="46"/>
      <c r="BM40" s="29"/>
    </row>
    <row r="41" spans="1:65" ht="14.25" thickTop="1" thickBot="1" x14ac:dyDescent="0.25">
      <c r="A41" s="309" t="s">
        <v>212</v>
      </c>
      <c r="B41" s="358"/>
      <c r="C41" s="358"/>
      <c r="D41" s="358"/>
      <c r="E41" s="358"/>
      <c r="F41" s="358"/>
      <c r="G41" s="358"/>
      <c r="H41" s="358"/>
      <c r="I41" s="358"/>
      <c r="J41" s="408"/>
      <c r="K41" s="408"/>
      <c r="L41" s="408"/>
      <c r="M41" s="408"/>
      <c r="N41" s="408"/>
      <c r="O41" s="15"/>
      <c r="P41" s="15"/>
      <c r="BL41" s="30"/>
      <c r="BM41" s="29"/>
    </row>
    <row r="42" spans="1:65" x14ac:dyDescent="0.2">
      <c r="A42" s="322" t="s">
        <v>16</v>
      </c>
      <c r="B42" s="323"/>
      <c r="C42" s="279" t="s">
        <v>17</v>
      </c>
      <c r="D42" s="489"/>
      <c r="E42" s="360" t="s">
        <v>18</v>
      </c>
      <c r="F42" s="323"/>
      <c r="G42" s="455" t="s">
        <v>19</v>
      </c>
      <c r="H42" s="459"/>
      <c r="I42" s="360" t="s">
        <v>20</v>
      </c>
      <c r="J42" s="323"/>
      <c r="K42" s="2" t="s">
        <v>21</v>
      </c>
      <c r="L42" s="100" t="s">
        <v>22</v>
      </c>
      <c r="M42" s="100" t="s">
        <v>23</v>
      </c>
      <c r="N42" s="213" t="s">
        <v>24</v>
      </c>
      <c r="O42" s="125"/>
      <c r="P42" s="125"/>
      <c r="BL42" s="29"/>
      <c r="BM42" s="29"/>
    </row>
    <row r="43" spans="1:65" x14ac:dyDescent="0.2">
      <c r="A43" s="475" t="s">
        <v>32</v>
      </c>
      <c r="B43" s="476"/>
      <c r="C43" s="389" t="s">
        <v>88</v>
      </c>
      <c r="D43" s="390"/>
      <c r="E43" s="339" t="s">
        <v>33</v>
      </c>
      <c r="F43" s="353"/>
      <c r="G43" s="391" t="s">
        <v>213</v>
      </c>
      <c r="H43" s="391"/>
      <c r="I43" s="339" t="s">
        <v>214</v>
      </c>
      <c r="J43" s="390"/>
      <c r="K43" s="486" t="s">
        <v>215</v>
      </c>
      <c r="L43" s="339" t="s">
        <v>34</v>
      </c>
      <c r="M43" s="339" t="s">
        <v>7</v>
      </c>
      <c r="N43" s="354" t="s">
        <v>216</v>
      </c>
      <c r="O43" s="126"/>
      <c r="P43" s="126"/>
      <c r="BL43" s="29"/>
      <c r="BM43" s="29"/>
    </row>
    <row r="44" spans="1:65" x14ac:dyDescent="0.2">
      <c r="A44" s="477"/>
      <c r="B44" s="477"/>
      <c r="C44" s="353"/>
      <c r="D44" s="353"/>
      <c r="E44" s="353"/>
      <c r="F44" s="353"/>
      <c r="G44" s="392"/>
      <c r="H44" s="392"/>
      <c r="I44" s="390"/>
      <c r="J44" s="390"/>
      <c r="K44" s="352"/>
      <c r="L44" s="352"/>
      <c r="M44" s="352"/>
      <c r="N44" s="354"/>
      <c r="O44" s="126"/>
      <c r="P44" s="126"/>
    </row>
    <row r="45" spans="1:65" x14ac:dyDescent="0.2">
      <c r="A45" s="477"/>
      <c r="B45" s="477"/>
      <c r="C45" s="379" t="s">
        <v>583</v>
      </c>
      <c r="D45" s="315"/>
      <c r="E45" s="349" t="s">
        <v>583</v>
      </c>
      <c r="F45" s="490"/>
      <c r="G45" s="491" t="s">
        <v>217</v>
      </c>
      <c r="H45" s="492"/>
      <c r="I45" s="390"/>
      <c r="J45" s="390"/>
      <c r="K45" s="349" t="s">
        <v>218</v>
      </c>
      <c r="L45" s="407" t="s">
        <v>219</v>
      </c>
      <c r="M45" s="353"/>
      <c r="N45" s="399" t="s">
        <v>220</v>
      </c>
      <c r="O45" s="127"/>
      <c r="P45" s="127"/>
    </row>
    <row r="46" spans="1:65" x14ac:dyDescent="0.2">
      <c r="A46" s="478"/>
      <c r="B46" s="478"/>
      <c r="C46" s="102" t="s">
        <v>89</v>
      </c>
      <c r="D46" s="102" t="s">
        <v>90</v>
      </c>
      <c r="E46" s="353"/>
      <c r="F46" s="353"/>
      <c r="G46" s="392"/>
      <c r="H46" s="392"/>
      <c r="I46" s="390"/>
      <c r="J46" s="390"/>
      <c r="K46" s="306"/>
      <c r="L46" s="352"/>
      <c r="M46" s="353"/>
      <c r="N46" s="400"/>
      <c r="O46" s="128"/>
      <c r="P46" s="128"/>
    </row>
    <row r="47" spans="1:65" x14ac:dyDescent="0.2">
      <c r="A47" s="332" t="s">
        <v>35</v>
      </c>
      <c r="B47" s="357"/>
      <c r="C47" s="12">
        <f>VLOOKUP($J$9,'Reference Tables (Segment)'!$A$8:$D$12,2, FALSE)</f>
        <v>-15.22</v>
      </c>
      <c r="D47" s="12">
        <f>VLOOKUP($J$9,'Reference Tables (Segment)'!$A$8:$D$12,3, FALSE)</f>
        <v>1.68</v>
      </c>
      <c r="E47" s="493">
        <f>VLOOKUP($J$9,'Reference Tables (Segment)'!$A$8:$D$12,4, FALSE)</f>
        <v>0.84</v>
      </c>
      <c r="F47" s="494"/>
      <c r="G47" s="382" t="e">
        <f>EXP($C47+($D47*LN($J$11))+LN($J$10))</f>
        <v>#NUM!</v>
      </c>
      <c r="H47" s="383"/>
      <c r="I47" s="318">
        <v>1</v>
      </c>
      <c r="J47" s="319"/>
      <c r="K47" s="3" t="e">
        <f>G47*I47</f>
        <v>#NUM!</v>
      </c>
      <c r="L47" s="12">
        <f>+M37</f>
        <v>1</v>
      </c>
      <c r="M47" s="12">
        <f>+$J$27</f>
        <v>1</v>
      </c>
      <c r="N47" s="214" t="e">
        <f>+K47*L47*M47</f>
        <v>#NUM!</v>
      </c>
      <c r="O47" s="22"/>
      <c r="P47" s="22"/>
    </row>
    <row r="48" spans="1:65" ht="15.75" x14ac:dyDescent="0.3">
      <c r="A48" s="393" t="s">
        <v>36</v>
      </c>
      <c r="B48" s="393"/>
      <c r="C48" s="363">
        <f>VLOOKUP($J$9,'Reference Tables (Segment)'!$A$14:$D$18,2, FALSE)</f>
        <v>-16.22</v>
      </c>
      <c r="D48" s="363">
        <f>VLOOKUP($J$9,'Reference Tables (Segment)'!$A$14:$D$18,3, FALSE)</f>
        <v>1.66</v>
      </c>
      <c r="E48" s="371">
        <f>VLOOKUP($J$9,'Reference Tables (Segment)'!$A$14:$D$18,4, FALSE)</f>
        <v>0.65</v>
      </c>
      <c r="F48" s="372"/>
      <c r="G48" s="375" t="e">
        <f>EXP($C48+($D48*LN($J$11))+LN($J$10))</f>
        <v>#NUM!</v>
      </c>
      <c r="H48" s="376"/>
      <c r="I48" s="379" t="s">
        <v>221</v>
      </c>
      <c r="J48" s="315"/>
      <c r="K48" s="361" t="e">
        <f>G47*I49</f>
        <v>#NUM!</v>
      </c>
      <c r="L48" s="363">
        <f>+M37</f>
        <v>1</v>
      </c>
      <c r="M48" s="363">
        <f>+$J$27</f>
        <v>1</v>
      </c>
      <c r="N48" s="365" t="e">
        <f>+K48*L48*M48</f>
        <v>#NUM!</v>
      </c>
      <c r="O48" s="22"/>
      <c r="P48" s="22"/>
    </row>
    <row r="49" spans="1:16" x14ac:dyDescent="0.2">
      <c r="A49" s="394"/>
      <c r="B49" s="394"/>
      <c r="C49" s="364"/>
      <c r="D49" s="364"/>
      <c r="E49" s="395"/>
      <c r="F49" s="396"/>
      <c r="G49" s="397"/>
      <c r="H49" s="398"/>
      <c r="I49" s="318" t="e">
        <f>G48/(G48+G50)</f>
        <v>#NUM!</v>
      </c>
      <c r="J49" s="319"/>
      <c r="K49" s="362"/>
      <c r="L49" s="364"/>
      <c r="M49" s="364"/>
      <c r="N49" s="366"/>
      <c r="O49" s="22"/>
      <c r="P49" s="22"/>
    </row>
    <row r="50" spans="1:16" ht="15.75" x14ac:dyDescent="0.3">
      <c r="A50" s="307" t="s">
        <v>37</v>
      </c>
      <c r="B50" s="367"/>
      <c r="C50" s="363">
        <f>VLOOKUP($J$9,'Reference Tables (Segment)'!$A$20:$D$24,2, FALSE)</f>
        <v>-15.62</v>
      </c>
      <c r="D50" s="363">
        <f>VLOOKUP($J$9,'Reference Tables (Segment)'!$A$20:$D$24,3, FALSE)</f>
        <v>1.69</v>
      </c>
      <c r="E50" s="371">
        <f>VLOOKUP($J$9,'Reference Tables (Segment)'!$A$20:$D$24,4, FALSE)</f>
        <v>0.87</v>
      </c>
      <c r="F50" s="372"/>
      <c r="G50" s="375" t="e">
        <f>EXP($C50+($D50*LN($J$11))+LN($J$10))</f>
        <v>#NUM!</v>
      </c>
      <c r="H50" s="376"/>
      <c r="I50" s="379" t="s">
        <v>222</v>
      </c>
      <c r="J50" s="315"/>
      <c r="K50" s="361" t="e">
        <f>G47*I51</f>
        <v>#NUM!</v>
      </c>
      <c r="L50" s="363">
        <f>+M37</f>
        <v>1</v>
      </c>
      <c r="M50" s="363">
        <f>+$J$27</f>
        <v>1</v>
      </c>
      <c r="N50" s="365" t="e">
        <f>+K50*L50*M50</f>
        <v>#NUM!</v>
      </c>
      <c r="O50" s="22"/>
      <c r="P50" s="22"/>
    </row>
    <row r="51" spans="1:16" ht="13.5" thickBot="1" x14ac:dyDescent="0.25">
      <c r="A51" s="368"/>
      <c r="B51" s="369"/>
      <c r="C51" s="370"/>
      <c r="D51" s="370"/>
      <c r="E51" s="373"/>
      <c r="F51" s="374"/>
      <c r="G51" s="377"/>
      <c r="H51" s="378"/>
      <c r="I51" s="312" t="e">
        <f>I47-I49</f>
        <v>#NUM!</v>
      </c>
      <c r="J51" s="313"/>
      <c r="K51" s="380"/>
      <c r="L51" s="370"/>
      <c r="M51" s="370"/>
      <c r="N51" s="381"/>
      <c r="O51" s="29"/>
      <c r="P51" s="29"/>
    </row>
    <row r="52" spans="1:16" ht="14.25" customHeight="1" x14ac:dyDescent="0.2">
      <c r="C52" s="29"/>
      <c r="D52" s="29"/>
      <c r="E52" s="29"/>
      <c r="F52" s="43"/>
      <c r="G52" s="25"/>
      <c r="H52" s="29"/>
      <c r="I52" s="29"/>
      <c r="J52" s="29"/>
      <c r="K52" s="29"/>
      <c r="L52" s="29"/>
      <c r="M52" s="43"/>
      <c r="N52" s="29"/>
      <c r="O52" s="29"/>
      <c r="P52" s="29"/>
    </row>
    <row r="53" spans="1:16" x14ac:dyDescent="0.2">
      <c r="C53" s="148"/>
      <c r="D53" s="25"/>
      <c r="E53" s="113"/>
      <c r="F53" s="1"/>
      <c r="G53" s="29"/>
      <c r="H53" s="29"/>
      <c r="I53" s="29"/>
      <c r="J53" s="52"/>
      <c r="K53" s="25"/>
      <c r="L53" s="29"/>
      <c r="M53" s="29"/>
      <c r="N53" s="29"/>
      <c r="O53" s="29"/>
      <c r="P53" s="29"/>
    </row>
    <row r="54" spans="1:16" ht="13.5" thickBot="1" x14ac:dyDescent="0.25">
      <c r="C54" s="124"/>
      <c r="D54" s="52"/>
      <c r="E54" s="52"/>
      <c r="F54" s="53"/>
      <c r="G54" s="36"/>
      <c r="H54" s="29"/>
      <c r="I54" s="29"/>
      <c r="J54" s="25"/>
      <c r="K54" s="25"/>
      <c r="L54" s="29"/>
      <c r="M54" s="52"/>
      <c r="N54" s="25"/>
      <c r="O54" s="25"/>
      <c r="P54" s="25"/>
    </row>
    <row r="55" spans="1:16" ht="14.25" thickTop="1" thickBot="1" x14ac:dyDescent="0.25">
      <c r="A55" s="309" t="s">
        <v>233</v>
      </c>
      <c r="B55" s="358"/>
      <c r="C55" s="358"/>
      <c r="D55" s="358"/>
      <c r="E55" s="358"/>
      <c r="F55" s="358"/>
      <c r="G55" s="358"/>
      <c r="H55" s="358"/>
      <c r="I55" s="359"/>
      <c r="J55" s="359"/>
      <c r="K55" s="359"/>
      <c r="L55" s="359"/>
      <c r="M55" s="359"/>
      <c r="N55" s="359"/>
      <c r="O55" s="34"/>
      <c r="P55" s="34"/>
    </row>
    <row r="56" spans="1:16" x14ac:dyDescent="0.2">
      <c r="A56" s="322" t="s">
        <v>16</v>
      </c>
      <c r="B56" s="323"/>
      <c r="C56" s="323"/>
      <c r="D56" s="360" t="s">
        <v>17</v>
      </c>
      <c r="E56" s="350"/>
      <c r="F56" s="360" t="s">
        <v>18</v>
      </c>
      <c r="G56" s="360"/>
      <c r="H56" s="278" t="s">
        <v>19</v>
      </c>
      <c r="I56" s="350"/>
      <c r="J56" s="360" t="s">
        <v>20</v>
      </c>
      <c r="K56" s="360"/>
      <c r="L56" s="278" t="s">
        <v>21</v>
      </c>
      <c r="M56" s="350"/>
      <c r="N56" s="351"/>
      <c r="O56" s="34"/>
      <c r="P56" s="34"/>
    </row>
    <row r="57" spans="1:16" x14ac:dyDescent="0.2">
      <c r="A57" s="495" t="s">
        <v>38</v>
      </c>
      <c r="B57" s="339"/>
      <c r="C57" s="333"/>
      <c r="D57" s="339" t="s">
        <v>39</v>
      </c>
      <c r="E57" s="315"/>
      <c r="F57" s="339" t="s">
        <v>235</v>
      </c>
      <c r="G57" s="339"/>
      <c r="H57" s="339" t="s">
        <v>249</v>
      </c>
      <c r="I57" s="315"/>
      <c r="J57" s="339" t="s">
        <v>237</v>
      </c>
      <c r="K57" s="339"/>
      <c r="L57" s="281" t="s">
        <v>234</v>
      </c>
      <c r="M57" s="281"/>
      <c r="N57" s="340"/>
      <c r="O57" s="34"/>
      <c r="P57" s="34"/>
    </row>
    <row r="58" spans="1:16" x14ac:dyDescent="0.2">
      <c r="A58" s="495"/>
      <c r="B58" s="339"/>
      <c r="C58" s="333"/>
      <c r="D58" s="315"/>
      <c r="E58" s="315"/>
      <c r="F58" s="315"/>
      <c r="G58" s="315"/>
      <c r="H58" s="315"/>
      <c r="I58" s="315"/>
      <c r="J58" s="315"/>
      <c r="K58" s="315"/>
      <c r="L58" s="341"/>
      <c r="M58" s="341"/>
      <c r="N58" s="340"/>
      <c r="O58" s="25"/>
      <c r="P58" s="25"/>
    </row>
    <row r="59" spans="1:16" x14ac:dyDescent="0.2">
      <c r="A59" s="336"/>
      <c r="B59" s="315"/>
      <c r="C59" s="333"/>
      <c r="D59" s="315"/>
      <c r="E59" s="315"/>
      <c r="F59" s="315"/>
      <c r="G59" s="315"/>
      <c r="H59" s="315"/>
      <c r="I59" s="315"/>
      <c r="J59" s="315"/>
      <c r="K59" s="315"/>
      <c r="L59" s="341"/>
      <c r="M59" s="341"/>
      <c r="N59" s="340"/>
      <c r="O59" s="34"/>
      <c r="P59" s="34"/>
    </row>
    <row r="60" spans="1:16" x14ac:dyDescent="0.2">
      <c r="A60" s="336"/>
      <c r="B60" s="315"/>
      <c r="C60" s="333"/>
      <c r="D60" s="349" t="s">
        <v>584</v>
      </c>
      <c r="E60" s="333"/>
      <c r="F60" s="355" t="s">
        <v>236</v>
      </c>
      <c r="G60" s="356"/>
      <c r="H60" s="349" t="s">
        <v>584</v>
      </c>
      <c r="I60" s="333"/>
      <c r="J60" s="355" t="s">
        <v>238</v>
      </c>
      <c r="K60" s="356"/>
      <c r="L60" s="355" t="s">
        <v>239</v>
      </c>
      <c r="M60" s="356"/>
      <c r="N60" s="357"/>
      <c r="O60" s="44"/>
      <c r="P60" s="44"/>
    </row>
    <row r="61" spans="1:16" x14ac:dyDescent="0.2">
      <c r="A61" s="336"/>
      <c r="B61" s="315"/>
      <c r="C61" s="333"/>
      <c r="D61" s="315"/>
      <c r="E61" s="333"/>
      <c r="F61" s="315"/>
      <c r="G61" s="315"/>
      <c r="H61" s="315"/>
      <c r="I61" s="333"/>
      <c r="J61" s="315"/>
      <c r="K61" s="315"/>
      <c r="L61" s="315"/>
      <c r="M61" s="315"/>
      <c r="N61" s="357"/>
    </row>
    <row r="62" spans="1:16" x14ac:dyDescent="0.2">
      <c r="A62" s="332" t="s">
        <v>35</v>
      </c>
      <c r="B62" s="333"/>
      <c r="C62" s="333"/>
      <c r="D62" s="320">
        <v>1</v>
      </c>
      <c r="E62" s="320"/>
      <c r="F62" s="321" t="e">
        <f>+N48</f>
        <v>#NUM!</v>
      </c>
      <c r="G62" s="334"/>
      <c r="H62" s="320">
        <v>1</v>
      </c>
      <c r="I62" s="320"/>
      <c r="J62" s="318" t="e">
        <f>+N50</f>
        <v>#NUM!</v>
      </c>
      <c r="K62" s="336"/>
      <c r="L62" s="321" t="e">
        <f>+N47</f>
        <v>#NUM!</v>
      </c>
      <c r="M62" s="337"/>
      <c r="N62" s="337"/>
      <c r="O62" s="29"/>
      <c r="P62" s="29"/>
    </row>
    <row r="63" spans="1:16" ht="15.75" x14ac:dyDescent="0.3">
      <c r="A63" s="332"/>
      <c r="B63" s="333"/>
      <c r="C63" s="333"/>
      <c r="D63" s="333"/>
      <c r="E63" s="333"/>
      <c r="F63" s="314" t="s">
        <v>240</v>
      </c>
      <c r="G63" s="315"/>
      <c r="H63" s="333"/>
      <c r="I63" s="333"/>
      <c r="J63" s="314" t="s">
        <v>241</v>
      </c>
      <c r="K63" s="315"/>
      <c r="L63" s="314" t="s">
        <v>242</v>
      </c>
      <c r="M63" s="315"/>
      <c r="N63" s="338"/>
      <c r="O63" s="24"/>
      <c r="P63" s="24"/>
    </row>
    <row r="64" spans="1:16" x14ac:dyDescent="0.2">
      <c r="A64" s="324" t="s">
        <v>42</v>
      </c>
      <c r="B64" s="333"/>
      <c r="C64" s="333"/>
      <c r="D64" s="318">
        <f>IF('Reference Tables (Segment)'!$B$30="No", HLOOKUP($J$9,'Reference Tables (Segment)'!$C$32:$L$39,3,FALSE),HLOOKUP($J$9,'Reference Tables (Segment)'!$C$42:$L$49,3,FALSE))</f>
        <v>0.73</v>
      </c>
      <c r="E64" s="319"/>
      <c r="F64" s="318" t="e">
        <f t="shared" ref="F64:F69" si="0">+$F$62*$D64</f>
        <v>#NUM!</v>
      </c>
      <c r="G64" s="319"/>
      <c r="H64" s="318">
        <f>IF('Reference Tables (Segment)'!$B$30="No",IF($J$9="2U",'Reference Tables (Segment)'!D34,IF($J$9="3T",'Reference Tables (Segment)'!F34,IF($J$9="4U",'Reference Tables (Segment)'!H34,IF($J$9="4D",'Reference Tables (Segment)'!J34,'Reference Tables (Segment)'!L34)))),IF($J$9="2U",'Reference Tables (Segment)'!D44,IF($J$9="3T",'Reference Tables (Segment)'!F44,IF($J$9="4U",'Reference Tables (Segment)'!H44,IF($J$9="4D",'Reference Tables (Segment)'!J44,'Reference Tables (Segment)'!L44)))))</f>
        <v>0.77800000000000002</v>
      </c>
      <c r="I64" s="319"/>
      <c r="J64" s="318" t="e">
        <f t="shared" ref="J64:J69" si="1">+$J$62*H64</f>
        <v>#NUM!</v>
      </c>
      <c r="K64" s="319"/>
      <c r="L64" s="320" t="e">
        <f t="shared" ref="L64:L69" si="2">+F64+J64</f>
        <v>#NUM!</v>
      </c>
      <c r="M64" s="320"/>
      <c r="N64" s="321"/>
      <c r="O64" s="24"/>
      <c r="P64" s="24"/>
    </row>
    <row r="65" spans="1:16" x14ac:dyDescent="0.2">
      <c r="A65" s="335" t="s">
        <v>41</v>
      </c>
      <c r="B65" s="333"/>
      <c r="C65" s="333"/>
      <c r="D65" s="318">
        <f>IF('Reference Tables (Segment)'!$B$30="No", HLOOKUP($J$9,'Reference Tables (Segment)'!$C$32:$L$39,4,FALSE),HLOOKUP($J$9,'Reference Tables (Segment)'!$C$42:$L$49,4,FALSE))</f>
        <v>6.8000000000000005E-2</v>
      </c>
      <c r="E65" s="319"/>
      <c r="F65" s="318" t="e">
        <f t="shared" si="0"/>
        <v>#NUM!</v>
      </c>
      <c r="G65" s="319"/>
      <c r="H65" s="318">
        <f>IF('Reference Tables (Segment)'!$B$30="No",IF($J$9="2U",'Reference Tables (Segment)'!D35,IF($J$9="3T",'Reference Tables (Segment)'!F35,IF($J$9="4U",'Reference Tables (Segment)'!H35,IF($J$9="4D",'Reference Tables (Segment)'!J35,'Reference Tables (Segment)'!L35)))),IF($J$9="2U",'Reference Tables (Segment)'!D45,IF($J$9="3T",'Reference Tables (Segment)'!F45,IF($J$9="4U",'Reference Tables (Segment)'!H45,IF($J$9="4D",'Reference Tables (Segment)'!J45,'Reference Tables (Segment)'!L45)))))</f>
        <v>4.0000000000000001E-3</v>
      </c>
      <c r="I65" s="319"/>
      <c r="J65" s="318" t="e">
        <f t="shared" si="1"/>
        <v>#NUM!</v>
      </c>
      <c r="K65" s="319"/>
      <c r="L65" s="320" t="e">
        <f t="shared" si="2"/>
        <v>#NUM!</v>
      </c>
      <c r="M65" s="320"/>
      <c r="N65" s="321"/>
      <c r="O65" s="129"/>
      <c r="P65" s="129"/>
    </row>
    <row r="66" spans="1:16" x14ac:dyDescent="0.2">
      <c r="A66" s="335" t="s">
        <v>40</v>
      </c>
      <c r="B66" s="333"/>
      <c r="C66" s="333"/>
      <c r="D66" s="318">
        <f>IF('Reference Tables (Segment)'!$B$30="No", HLOOKUP($J$9,'Reference Tables (Segment)'!$C$32:$L$39,5,FALSE),HLOOKUP($J$9,'Reference Tables (Segment)'!$C$42:$L$49,5,FALSE))</f>
        <v>8.5000000000000006E-2</v>
      </c>
      <c r="E66" s="319"/>
      <c r="F66" s="318" t="e">
        <f t="shared" si="0"/>
        <v>#NUM!</v>
      </c>
      <c r="G66" s="319"/>
      <c r="H66" s="318">
        <f>IF('Reference Tables (Segment)'!$B$30="No",IF($J$9="2U",'Reference Tables (Segment)'!D36,IF($J$9="3T",'Reference Tables (Segment)'!F36,IF($J$9="4U",'Reference Tables (Segment)'!H36,IF($J$9="4D",'Reference Tables (Segment)'!J36,'Reference Tables (Segment)'!L36)))),IF($J$9="2U",'Reference Tables (Segment)'!D46,IF($J$9="3T",'Reference Tables (Segment)'!F46,IF($J$9="4U",'Reference Tables (Segment)'!H46,IF($J$9="4D",'Reference Tables (Segment)'!J46,'Reference Tables (Segment)'!L46)))))</f>
        <v>7.9000000000000001E-2</v>
      </c>
      <c r="I66" s="319"/>
      <c r="J66" s="318" t="e">
        <f t="shared" si="1"/>
        <v>#NUM!</v>
      </c>
      <c r="K66" s="319"/>
      <c r="L66" s="320" t="e">
        <f t="shared" si="2"/>
        <v>#NUM!</v>
      </c>
      <c r="M66" s="320"/>
      <c r="N66" s="321"/>
      <c r="O66" s="24"/>
      <c r="P66" s="24"/>
    </row>
    <row r="67" spans="1:16" x14ac:dyDescent="0.2">
      <c r="A67" s="335" t="s">
        <v>243</v>
      </c>
      <c r="B67" s="333"/>
      <c r="C67" s="333"/>
      <c r="D67" s="318">
        <f>IF('Reference Tables (Segment)'!$B$30="No", HLOOKUP($J$9,'Reference Tables (Segment)'!$C$32:$L$39,6,FALSE),HLOOKUP($J$9,'Reference Tables (Segment)'!$C$42:$L$49,6,FALSE))</f>
        <v>1.4999999999999999E-2</v>
      </c>
      <c r="E67" s="319"/>
      <c r="F67" s="318" t="e">
        <f t="shared" si="0"/>
        <v>#NUM!</v>
      </c>
      <c r="G67" s="319"/>
      <c r="H67" s="318">
        <f>IF('Reference Tables (Segment)'!$B$30="No",IF($J$9="2U",'Reference Tables (Segment)'!D37,IF($J$9="3T",'Reference Tables (Segment)'!F37,IF($J$9="4U",'Reference Tables (Segment)'!H37,IF($J$9="4D",'Reference Tables (Segment)'!J37,'Reference Tables (Segment)'!L37)))),IF($J$9="2U",'Reference Tables (Segment)'!D47,IF($J$9="3T",'Reference Tables (Segment)'!F47,IF($J$9="4U",'Reference Tables (Segment)'!H47,IF($J$9="4D",'Reference Tables (Segment)'!J47,'Reference Tables (Segment)'!L47)))))</f>
        <v>3.1E-2</v>
      </c>
      <c r="I67" s="319"/>
      <c r="J67" s="318" t="e">
        <f t="shared" si="1"/>
        <v>#NUM!</v>
      </c>
      <c r="K67" s="319"/>
      <c r="L67" s="320" t="e">
        <f t="shared" si="2"/>
        <v>#NUM!</v>
      </c>
      <c r="M67" s="320"/>
      <c r="N67" s="321"/>
      <c r="O67" s="24"/>
      <c r="P67" s="24"/>
    </row>
    <row r="68" spans="1:16" x14ac:dyDescent="0.2">
      <c r="A68" s="335" t="s">
        <v>244</v>
      </c>
      <c r="B68" s="333"/>
      <c r="C68" s="333"/>
      <c r="D68" s="318">
        <f>IF('Reference Tables (Segment)'!$B$30="No", HLOOKUP($J$9,'Reference Tables (Segment)'!$C$32:$L$39,7,FALSE),HLOOKUP($J$9,'Reference Tables (Segment)'!$C$42:$L$49,7,FALSE))</f>
        <v>7.2999999999999995E-2</v>
      </c>
      <c r="E68" s="319"/>
      <c r="F68" s="318" t="e">
        <f t="shared" si="0"/>
        <v>#NUM!</v>
      </c>
      <c r="G68" s="319"/>
      <c r="H68" s="318">
        <f>IF('Reference Tables (Segment)'!$B$30="No",IF($J$9="2U",'Reference Tables (Segment)'!D38,IF($J$9="3T",'Reference Tables (Segment)'!F38,IF($J$9="4U",'Reference Tables (Segment)'!H38,IF($J$9="4D",'Reference Tables (Segment)'!J38,'Reference Tables (Segment)'!L38)))),IF($J$9="2U",'Reference Tables (Segment)'!D48,IF($J$9="3T",'Reference Tables (Segment)'!F48,IF($J$9="4U",'Reference Tables (Segment)'!H48,IF($J$9="4D",'Reference Tables (Segment)'!J48,'Reference Tables (Segment)'!L48)))))</f>
        <v>5.5E-2</v>
      </c>
      <c r="I68" s="319"/>
      <c r="J68" s="318" t="e">
        <f t="shared" si="1"/>
        <v>#NUM!</v>
      </c>
      <c r="K68" s="319"/>
      <c r="L68" s="320" t="e">
        <f t="shared" si="2"/>
        <v>#NUM!</v>
      </c>
      <c r="M68" s="320"/>
      <c r="N68" s="321"/>
      <c r="O68" s="130"/>
      <c r="P68" s="130"/>
    </row>
    <row r="69" spans="1:16" ht="13.5" thickBot="1" x14ac:dyDescent="0.25">
      <c r="A69" s="310" t="s">
        <v>248</v>
      </c>
      <c r="B69" s="311"/>
      <c r="C69" s="311"/>
      <c r="D69" s="312">
        <f>IF('Reference Tables (Segment)'!$B$30="No", HLOOKUP($J$9,'Reference Tables (Segment)'!$C$32:$L$39,8,FALSE),HLOOKUP($J$9,'Reference Tables (Segment)'!$C$42:$L$49,8,FALSE))</f>
        <v>2.9000000000000001E-2</v>
      </c>
      <c r="E69" s="313"/>
      <c r="F69" s="312" t="e">
        <f t="shared" si="0"/>
        <v>#NUM!</v>
      </c>
      <c r="G69" s="313"/>
      <c r="H69" s="312">
        <f>IF('Reference Tables (Segment)'!$B$30="No",IF($J$9="2U",'Reference Tables (Segment)'!D39,IF($J$9="3T",'Reference Tables (Segment)'!F39,IF($J$9="4U",'Reference Tables (Segment)'!H39,IF($J$9="4D",'Reference Tables (Segment)'!J39,'Reference Tables (Segment)'!L39)))),IF($J$9="2U",'Reference Tables (Segment)'!D49,IF($J$9="3T",'Reference Tables (Segment)'!F49,IF($J$9="4U",'Reference Tables (Segment)'!H49,IF($J$9="4D",'Reference Tables (Segment)'!J49,'Reference Tables (Segment)'!L49)))))</f>
        <v>5.2999999999999999E-2</v>
      </c>
      <c r="I69" s="313"/>
      <c r="J69" s="312" t="e">
        <f t="shared" si="1"/>
        <v>#NUM!</v>
      </c>
      <c r="K69" s="313"/>
      <c r="L69" s="316" t="e">
        <f t="shared" si="2"/>
        <v>#NUM!</v>
      </c>
      <c r="M69" s="316"/>
      <c r="N69" s="317"/>
      <c r="O69" s="24"/>
      <c r="P69" s="24"/>
    </row>
    <row r="70" spans="1:16" x14ac:dyDescent="0.2">
      <c r="A70" s="15"/>
      <c r="B70" s="15"/>
      <c r="C70" s="34"/>
      <c r="D70" s="34"/>
      <c r="E70" s="34"/>
      <c r="F70" s="34"/>
      <c r="G70" s="34"/>
      <c r="H70" s="34"/>
      <c r="I70" s="34"/>
      <c r="J70" s="34"/>
      <c r="K70" s="34"/>
      <c r="L70" s="34"/>
      <c r="M70" s="34"/>
      <c r="N70" s="131"/>
      <c r="O70" s="131"/>
      <c r="P70" s="131"/>
    </row>
    <row r="71" spans="1:16" x14ac:dyDescent="0.2">
      <c r="A71" s="28"/>
      <c r="B71" s="28"/>
      <c r="C71" s="28"/>
      <c r="D71" s="52"/>
      <c r="E71" s="28"/>
      <c r="F71" s="28"/>
      <c r="G71" s="125"/>
      <c r="H71" s="15"/>
      <c r="I71" s="28"/>
      <c r="J71" s="52"/>
      <c r="K71" s="24"/>
      <c r="L71" s="28"/>
      <c r="M71" s="52"/>
      <c r="N71" s="24"/>
      <c r="O71" s="24"/>
      <c r="P71" s="24"/>
    </row>
    <row r="72" spans="1:16" ht="13.5" thickBot="1" x14ac:dyDescent="0.25">
      <c r="A72" s="28"/>
      <c r="B72" s="28"/>
      <c r="C72" s="28"/>
      <c r="D72" s="52"/>
      <c r="E72" s="28"/>
      <c r="F72" s="28"/>
      <c r="G72" s="125"/>
      <c r="H72" s="15"/>
      <c r="I72" s="28"/>
      <c r="J72" s="52"/>
      <c r="K72" s="24"/>
      <c r="L72" s="28"/>
      <c r="M72" s="52"/>
      <c r="N72" s="24"/>
      <c r="O72" s="24"/>
      <c r="P72" s="24"/>
    </row>
    <row r="73" spans="1:16" ht="14.25" thickTop="1" thickBot="1" x14ac:dyDescent="0.25">
      <c r="A73" s="309" t="s">
        <v>250</v>
      </c>
      <c r="B73" s="358"/>
      <c r="C73" s="358"/>
      <c r="D73" s="358"/>
      <c r="E73" s="358"/>
      <c r="F73" s="358"/>
      <c r="G73" s="358"/>
      <c r="H73" s="358"/>
      <c r="I73" s="358"/>
      <c r="J73" s="408"/>
      <c r="K73" s="408"/>
      <c r="L73" s="408"/>
      <c r="M73" s="408"/>
      <c r="N73" s="408"/>
      <c r="O73" s="24"/>
      <c r="P73" s="24"/>
    </row>
    <row r="74" spans="1:16" ht="13.5" customHeight="1" x14ac:dyDescent="0.2">
      <c r="A74" s="322" t="s">
        <v>16</v>
      </c>
      <c r="B74" s="323"/>
      <c r="C74" s="279" t="s">
        <v>17</v>
      </c>
      <c r="D74" s="489"/>
      <c r="E74" s="360" t="s">
        <v>18</v>
      </c>
      <c r="F74" s="323"/>
      <c r="G74" s="455" t="s">
        <v>19</v>
      </c>
      <c r="H74" s="459"/>
      <c r="I74" s="360" t="s">
        <v>20</v>
      </c>
      <c r="J74" s="323"/>
      <c r="K74" s="2" t="s">
        <v>21</v>
      </c>
      <c r="L74" s="100" t="s">
        <v>22</v>
      </c>
      <c r="M74" s="100" t="s">
        <v>23</v>
      </c>
      <c r="N74" s="213" t="s">
        <v>24</v>
      </c>
      <c r="O74" s="24"/>
      <c r="P74" s="24"/>
    </row>
    <row r="75" spans="1:16" x14ac:dyDescent="0.2">
      <c r="A75" s="342" t="s">
        <v>32</v>
      </c>
      <c r="B75" s="384"/>
      <c r="C75" s="389" t="s">
        <v>88</v>
      </c>
      <c r="D75" s="390"/>
      <c r="E75" s="339" t="s">
        <v>33</v>
      </c>
      <c r="F75" s="353"/>
      <c r="G75" s="391" t="s">
        <v>251</v>
      </c>
      <c r="H75" s="391"/>
      <c r="I75" s="339" t="s">
        <v>214</v>
      </c>
      <c r="J75" s="390"/>
      <c r="K75" s="486" t="s">
        <v>253</v>
      </c>
      <c r="L75" s="339" t="s">
        <v>34</v>
      </c>
      <c r="M75" s="339" t="s">
        <v>7</v>
      </c>
      <c r="N75" s="354" t="s">
        <v>255</v>
      </c>
      <c r="O75" s="24"/>
      <c r="P75" s="24"/>
    </row>
    <row r="76" spans="1:16" x14ac:dyDescent="0.2">
      <c r="A76" s="385"/>
      <c r="B76" s="386"/>
      <c r="C76" s="353"/>
      <c r="D76" s="353"/>
      <c r="E76" s="353"/>
      <c r="F76" s="353"/>
      <c r="G76" s="392"/>
      <c r="H76" s="392"/>
      <c r="I76" s="390"/>
      <c r="J76" s="390"/>
      <c r="K76" s="352"/>
      <c r="L76" s="352"/>
      <c r="M76" s="352"/>
      <c r="N76" s="354"/>
      <c r="O76" s="24"/>
      <c r="P76" s="24"/>
    </row>
    <row r="77" spans="1:16" x14ac:dyDescent="0.2">
      <c r="A77" s="385"/>
      <c r="B77" s="386"/>
      <c r="C77" s="379" t="s">
        <v>585</v>
      </c>
      <c r="D77" s="315"/>
      <c r="E77" s="349" t="s">
        <v>585</v>
      </c>
      <c r="F77" s="490"/>
      <c r="G77" s="491" t="s">
        <v>252</v>
      </c>
      <c r="H77" s="492"/>
      <c r="I77" s="390"/>
      <c r="J77" s="390"/>
      <c r="K77" s="349" t="s">
        <v>218</v>
      </c>
      <c r="L77" s="407" t="s">
        <v>219</v>
      </c>
      <c r="M77" s="353"/>
      <c r="N77" s="399" t="s">
        <v>220</v>
      </c>
      <c r="O77" s="24"/>
      <c r="P77" s="24"/>
    </row>
    <row r="78" spans="1:16" x14ac:dyDescent="0.2">
      <c r="A78" s="387"/>
      <c r="B78" s="388"/>
      <c r="C78" s="102" t="s">
        <v>89</v>
      </c>
      <c r="D78" s="102" t="s">
        <v>90</v>
      </c>
      <c r="E78" s="353"/>
      <c r="F78" s="353"/>
      <c r="G78" s="392"/>
      <c r="H78" s="392"/>
      <c r="I78" s="390"/>
      <c r="J78" s="390"/>
      <c r="K78" s="306"/>
      <c r="L78" s="352"/>
      <c r="M78" s="353"/>
      <c r="N78" s="400"/>
      <c r="O78" s="24"/>
      <c r="P78" s="24"/>
    </row>
    <row r="79" spans="1:16" x14ac:dyDescent="0.2">
      <c r="A79" s="332" t="s">
        <v>35</v>
      </c>
      <c r="B79" s="357"/>
      <c r="C79" s="12">
        <f>VLOOKUP($J$9,'Reference Tables (Segment)'!$G$8:$J$12,2, FALSE)</f>
        <v>-5.47</v>
      </c>
      <c r="D79" s="12">
        <f>VLOOKUP($J$9,'Reference Tables (Segment)'!$G$8:$J$12,3, FALSE)</f>
        <v>0.56000000000000005</v>
      </c>
      <c r="E79" s="493">
        <f>VLOOKUP($J$9,'Reference Tables (Segment)'!$G$8:$J$12,4, FALSE)</f>
        <v>0.81</v>
      </c>
      <c r="F79" s="494"/>
      <c r="G79" s="382" t="e">
        <f>EXP($C79+($D79*LN($J$11))+LN($J$10))</f>
        <v>#NUM!</v>
      </c>
      <c r="H79" s="383"/>
      <c r="I79" s="318">
        <v>1</v>
      </c>
      <c r="J79" s="319"/>
      <c r="K79" s="3" t="e">
        <f>$G$79*I79</f>
        <v>#NUM!</v>
      </c>
      <c r="L79" s="12">
        <f>+$M$37</f>
        <v>1</v>
      </c>
      <c r="M79" s="12">
        <f>+$J$27</f>
        <v>1</v>
      </c>
      <c r="N79" s="214" t="e">
        <f>+K79*L79*M79</f>
        <v>#NUM!</v>
      </c>
      <c r="O79" s="131"/>
      <c r="P79" s="131"/>
    </row>
    <row r="80" spans="1:16" ht="15.75" x14ac:dyDescent="0.3">
      <c r="A80" s="393" t="s">
        <v>36</v>
      </c>
      <c r="B80" s="393"/>
      <c r="C80" s="363">
        <f>VLOOKUP($J$9,'Reference Tables (Segment)'!$G$14:$J$18,2, FALSE)</f>
        <v>-3.96</v>
      </c>
      <c r="D80" s="363">
        <f>VLOOKUP($J$9,'Reference Tables (Segment)'!$G$14:$J$18,3, FALSE)</f>
        <v>0.23</v>
      </c>
      <c r="E80" s="371">
        <f>VLOOKUP($J$9,'Reference Tables (Segment)'!$G$14:$J$18,4, FALSE)</f>
        <v>0.5</v>
      </c>
      <c r="F80" s="372"/>
      <c r="G80" s="375" t="e">
        <f>EXP($C80+($D80*LN($J$11))+LN($J$10))</f>
        <v>#NUM!</v>
      </c>
      <c r="H80" s="376"/>
      <c r="I80" s="379" t="s">
        <v>221</v>
      </c>
      <c r="J80" s="315"/>
      <c r="K80" s="361" t="e">
        <f>$G$79*I81</f>
        <v>#NUM!</v>
      </c>
      <c r="L80" s="363">
        <f>+$M$37</f>
        <v>1</v>
      </c>
      <c r="M80" s="363">
        <f>+$J$27</f>
        <v>1</v>
      </c>
      <c r="N80" s="365" t="e">
        <f>+K80*L80*M80</f>
        <v>#NUM!</v>
      </c>
      <c r="O80" s="131"/>
      <c r="P80" s="131"/>
    </row>
    <row r="81" spans="1:16" x14ac:dyDescent="0.2">
      <c r="A81" s="394"/>
      <c r="B81" s="394"/>
      <c r="C81" s="364"/>
      <c r="D81" s="364"/>
      <c r="E81" s="395"/>
      <c r="F81" s="396"/>
      <c r="G81" s="397"/>
      <c r="H81" s="398"/>
      <c r="I81" s="318" t="e">
        <f>G80/(G80+G82)</f>
        <v>#NUM!</v>
      </c>
      <c r="J81" s="319"/>
      <c r="K81" s="362"/>
      <c r="L81" s="364"/>
      <c r="M81" s="364"/>
      <c r="N81" s="366"/>
      <c r="O81" s="131"/>
      <c r="P81" s="131"/>
    </row>
    <row r="82" spans="1:16" ht="15.75" x14ac:dyDescent="0.3">
      <c r="A82" s="307" t="s">
        <v>37</v>
      </c>
      <c r="B82" s="367"/>
      <c r="C82" s="363">
        <f>VLOOKUP($J$9,'Reference Tables (Segment)'!$G$20:$J$24,2, FALSE)</f>
        <v>-6.51</v>
      </c>
      <c r="D82" s="363">
        <f>VLOOKUP($J$9,'Reference Tables (Segment)'!$G$20:$J$24,3, FALSE)</f>
        <v>0.64</v>
      </c>
      <c r="E82" s="371">
        <f>VLOOKUP($J$9,'Reference Tables (Segment)'!$G$20:$J$24,4, FALSE)</f>
        <v>0.87</v>
      </c>
      <c r="F82" s="372"/>
      <c r="G82" s="375" t="e">
        <f>EXP($C82+($D82*LN($J$11))+LN($J$10))</f>
        <v>#NUM!</v>
      </c>
      <c r="H82" s="376"/>
      <c r="I82" s="379" t="s">
        <v>222</v>
      </c>
      <c r="J82" s="315"/>
      <c r="K82" s="361" t="e">
        <f>$G$79*I83</f>
        <v>#NUM!</v>
      </c>
      <c r="L82" s="363">
        <f>+$M$37</f>
        <v>1</v>
      </c>
      <c r="M82" s="363">
        <f>+$J$27</f>
        <v>1</v>
      </c>
      <c r="N82" s="365" t="e">
        <f>+K82*L82*M82</f>
        <v>#NUM!</v>
      </c>
      <c r="O82" s="131"/>
      <c r="P82" s="131"/>
    </row>
    <row r="83" spans="1:16" ht="13.5" thickBot="1" x14ac:dyDescent="0.25">
      <c r="A83" s="368"/>
      <c r="B83" s="369"/>
      <c r="C83" s="370"/>
      <c r="D83" s="370"/>
      <c r="E83" s="373"/>
      <c r="F83" s="374"/>
      <c r="G83" s="377"/>
      <c r="H83" s="378"/>
      <c r="I83" s="312" t="e">
        <f>I79-I81</f>
        <v>#NUM!</v>
      </c>
      <c r="J83" s="313"/>
      <c r="K83" s="380"/>
      <c r="L83" s="370"/>
      <c r="M83" s="370"/>
      <c r="N83" s="381"/>
      <c r="O83" s="131"/>
      <c r="P83" s="131"/>
    </row>
    <row r="84" spans="1:16" x14ac:dyDescent="0.2">
      <c r="A84" s="15"/>
      <c r="B84" s="15"/>
      <c r="C84" s="34"/>
      <c r="D84" s="34"/>
      <c r="E84" s="34"/>
      <c r="F84" s="34"/>
      <c r="G84" s="34"/>
      <c r="H84" s="34"/>
      <c r="I84" s="34"/>
      <c r="J84" s="34"/>
      <c r="K84" s="34"/>
      <c r="L84" s="34"/>
      <c r="M84" s="34"/>
      <c r="N84" s="131"/>
      <c r="O84" s="131"/>
      <c r="P84" s="131"/>
    </row>
    <row r="85" spans="1:16" x14ac:dyDescent="0.2">
      <c r="A85" s="15"/>
      <c r="B85" s="15"/>
      <c r="C85" s="34"/>
      <c r="D85" s="34"/>
      <c r="E85" s="34"/>
      <c r="F85" s="34"/>
      <c r="G85" s="34"/>
      <c r="H85" s="34"/>
      <c r="I85" s="34"/>
      <c r="J85" s="34"/>
      <c r="K85" s="34"/>
      <c r="L85" s="34"/>
      <c r="M85" s="34"/>
      <c r="N85" s="131"/>
      <c r="O85" s="131"/>
      <c r="P85" s="131"/>
    </row>
    <row r="86" spans="1:16" ht="13.5" thickBot="1" x14ac:dyDescent="0.25">
      <c r="A86" s="15"/>
      <c r="B86" s="15"/>
      <c r="C86" s="34"/>
      <c r="D86" s="34"/>
      <c r="E86" s="34"/>
      <c r="F86" s="34"/>
      <c r="G86" s="34"/>
      <c r="H86" s="34"/>
      <c r="I86" s="34"/>
      <c r="J86" s="34"/>
      <c r="K86" s="34"/>
      <c r="L86" s="34"/>
      <c r="M86" s="34"/>
      <c r="N86" s="131"/>
      <c r="O86" s="131"/>
      <c r="P86" s="131"/>
    </row>
    <row r="87" spans="1:16" ht="14.25" thickTop="1" thickBot="1" x14ac:dyDescent="0.25">
      <c r="A87" s="309" t="s">
        <v>256</v>
      </c>
      <c r="B87" s="358"/>
      <c r="C87" s="358"/>
      <c r="D87" s="358"/>
      <c r="E87" s="358"/>
      <c r="F87" s="358"/>
      <c r="G87" s="358"/>
      <c r="H87" s="358"/>
      <c r="I87" s="359"/>
      <c r="J87" s="359"/>
      <c r="K87" s="359"/>
      <c r="L87" s="359"/>
      <c r="M87" s="359"/>
      <c r="N87" s="359"/>
      <c r="O87" s="131"/>
      <c r="P87" s="131"/>
    </row>
    <row r="88" spans="1:16" x14ac:dyDescent="0.2">
      <c r="A88" s="322" t="s">
        <v>16</v>
      </c>
      <c r="B88" s="323"/>
      <c r="C88" s="323"/>
      <c r="D88" s="360" t="s">
        <v>17</v>
      </c>
      <c r="E88" s="350"/>
      <c r="F88" s="360" t="s">
        <v>18</v>
      </c>
      <c r="G88" s="360"/>
      <c r="H88" s="278" t="s">
        <v>19</v>
      </c>
      <c r="I88" s="350"/>
      <c r="J88" s="360" t="s">
        <v>20</v>
      </c>
      <c r="K88" s="360"/>
      <c r="L88" s="278" t="s">
        <v>21</v>
      </c>
      <c r="M88" s="350"/>
      <c r="N88" s="351"/>
      <c r="O88" s="131"/>
      <c r="P88" s="131"/>
    </row>
    <row r="89" spans="1:16" x14ac:dyDescent="0.2">
      <c r="A89" s="342" t="s">
        <v>38</v>
      </c>
      <c r="B89" s="342"/>
      <c r="C89" s="343"/>
      <c r="D89" s="339" t="s">
        <v>39</v>
      </c>
      <c r="E89" s="315"/>
      <c r="F89" s="339" t="s">
        <v>261</v>
      </c>
      <c r="G89" s="339"/>
      <c r="H89" s="339" t="s">
        <v>249</v>
      </c>
      <c r="I89" s="315"/>
      <c r="J89" s="339" t="s">
        <v>266</v>
      </c>
      <c r="K89" s="339"/>
      <c r="L89" s="281" t="s">
        <v>264</v>
      </c>
      <c r="M89" s="281"/>
      <c r="N89" s="340"/>
      <c r="O89" s="131"/>
      <c r="P89" s="131"/>
    </row>
    <row r="90" spans="1:16" x14ac:dyDescent="0.2">
      <c r="A90" s="344"/>
      <c r="B90" s="344"/>
      <c r="C90" s="345"/>
      <c r="D90" s="315"/>
      <c r="E90" s="315"/>
      <c r="F90" s="315"/>
      <c r="G90" s="315"/>
      <c r="H90" s="315"/>
      <c r="I90" s="315"/>
      <c r="J90" s="315"/>
      <c r="K90" s="315"/>
      <c r="L90" s="341"/>
      <c r="M90" s="341"/>
      <c r="N90" s="340"/>
      <c r="O90" s="131"/>
      <c r="P90" s="131"/>
    </row>
    <row r="91" spans="1:16" x14ac:dyDescent="0.2">
      <c r="A91" s="346"/>
      <c r="B91" s="346"/>
      <c r="C91" s="345"/>
      <c r="D91" s="315"/>
      <c r="E91" s="315"/>
      <c r="F91" s="315"/>
      <c r="G91" s="315"/>
      <c r="H91" s="315"/>
      <c r="I91" s="315"/>
      <c r="J91" s="315"/>
      <c r="K91" s="315"/>
      <c r="L91" s="341"/>
      <c r="M91" s="341"/>
      <c r="N91" s="340"/>
      <c r="O91" s="131"/>
      <c r="P91" s="131"/>
    </row>
    <row r="92" spans="1:16" x14ac:dyDescent="0.2">
      <c r="A92" s="346"/>
      <c r="B92" s="346"/>
      <c r="C92" s="345"/>
      <c r="D92" s="349" t="s">
        <v>586</v>
      </c>
      <c r="E92" s="333"/>
      <c r="F92" s="355" t="s">
        <v>262</v>
      </c>
      <c r="G92" s="356"/>
      <c r="H92" s="349" t="s">
        <v>586</v>
      </c>
      <c r="I92" s="333"/>
      <c r="J92" s="355" t="s">
        <v>263</v>
      </c>
      <c r="K92" s="356"/>
      <c r="L92" s="355" t="s">
        <v>265</v>
      </c>
      <c r="M92" s="356"/>
      <c r="N92" s="357"/>
      <c r="O92" s="131"/>
      <c r="P92" s="131"/>
    </row>
    <row r="93" spans="1:16" x14ac:dyDescent="0.2">
      <c r="A93" s="347"/>
      <c r="B93" s="347"/>
      <c r="C93" s="348"/>
      <c r="D93" s="315"/>
      <c r="E93" s="333"/>
      <c r="F93" s="315"/>
      <c r="G93" s="315"/>
      <c r="H93" s="315"/>
      <c r="I93" s="333"/>
      <c r="J93" s="315"/>
      <c r="K93" s="315"/>
      <c r="L93" s="315"/>
      <c r="M93" s="315"/>
      <c r="N93" s="357"/>
      <c r="O93" s="131"/>
      <c r="P93" s="131"/>
    </row>
    <row r="94" spans="1:16" x14ac:dyDescent="0.2">
      <c r="A94" s="332" t="s">
        <v>35</v>
      </c>
      <c r="B94" s="333"/>
      <c r="C94" s="333"/>
      <c r="D94" s="320">
        <v>1</v>
      </c>
      <c r="E94" s="320"/>
      <c r="F94" s="321" t="e">
        <f>+N80</f>
        <v>#NUM!</v>
      </c>
      <c r="G94" s="334"/>
      <c r="H94" s="320">
        <v>1</v>
      </c>
      <c r="I94" s="320"/>
      <c r="J94" s="318" t="e">
        <f>+N82</f>
        <v>#NUM!</v>
      </c>
      <c r="K94" s="336"/>
      <c r="L94" s="321" t="e">
        <f>+N79</f>
        <v>#NUM!</v>
      </c>
      <c r="M94" s="337"/>
      <c r="N94" s="337"/>
      <c r="O94" s="131"/>
      <c r="P94" s="131"/>
    </row>
    <row r="95" spans="1:16" ht="15.75" x14ac:dyDescent="0.3">
      <c r="A95" s="332"/>
      <c r="B95" s="333"/>
      <c r="C95" s="333"/>
      <c r="D95" s="333"/>
      <c r="E95" s="333"/>
      <c r="F95" s="314" t="s">
        <v>240</v>
      </c>
      <c r="G95" s="315"/>
      <c r="H95" s="333"/>
      <c r="I95" s="333"/>
      <c r="J95" s="314" t="s">
        <v>241</v>
      </c>
      <c r="K95" s="315"/>
      <c r="L95" s="314" t="s">
        <v>242</v>
      </c>
      <c r="M95" s="315"/>
      <c r="N95" s="338"/>
      <c r="O95" s="131"/>
      <c r="P95" s="131"/>
    </row>
    <row r="96" spans="1:16" x14ac:dyDescent="0.2">
      <c r="A96" s="324" t="s">
        <v>257</v>
      </c>
      <c r="B96" s="333"/>
      <c r="C96" s="333"/>
      <c r="D96" s="318">
        <f>IF('Reference Tables (Segment)'!$B$55="No", HLOOKUP($J$9,'Reference Tables (Segment)'!$C$57:$L$62,3,FALSE),HLOOKUP($J$9,'Reference Tables (Segment)'!$C$65:$L$70,3,FALSE))</f>
        <v>2.5999999999999999E-2</v>
      </c>
      <c r="E96" s="319"/>
      <c r="F96" s="318" t="e">
        <f>+$F$94*$D96</f>
        <v>#NUM!</v>
      </c>
      <c r="G96" s="319"/>
      <c r="H96" s="318">
        <f>IF('Reference Tables (Segment)'!$B$55="No",IF($J$9="2U",'Reference Tables (Segment)'!D59,IF($J$9="3T",'Reference Tables (Segment)'!F59,IF($J$9="4U",'Reference Tables (Segment)'!H59,IF($J$9="4D",'Reference Tables (Segment)'!J59,'Reference Tables (Segment)'!L59)))),IF($J$9="2U",'Reference Tables (Segment)'!D67,IF($J$9="3T",'Reference Tables (Segment)'!F67,IF($J$9="4U",'Reference Tables (Segment)'!H67,IF($J$9="4D",'Reference Tables (Segment)'!J67,'Reference Tables (Segment)'!L67)))))</f>
        <v>6.6000000000000003E-2</v>
      </c>
      <c r="I96" s="319"/>
      <c r="J96" s="318" t="e">
        <f>+$J$94*H96</f>
        <v>#NUM!</v>
      </c>
      <c r="K96" s="319"/>
      <c r="L96" s="320" t="e">
        <f>+F96+J96</f>
        <v>#NUM!</v>
      </c>
      <c r="M96" s="320"/>
      <c r="N96" s="321"/>
      <c r="O96" s="131"/>
      <c r="P96" s="131"/>
    </row>
    <row r="97" spans="1:16" x14ac:dyDescent="0.2">
      <c r="A97" s="335" t="s">
        <v>258</v>
      </c>
      <c r="B97" s="333"/>
      <c r="C97" s="333"/>
      <c r="D97" s="318">
        <f>IF('Reference Tables (Segment)'!$B$55="No", HLOOKUP($J$9,'Reference Tables (Segment)'!$C$57:$L$62,4,FALSE),HLOOKUP($J$9,'Reference Tables (Segment)'!$C$65:$L$70,4,FALSE))</f>
        <v>0.72299999999999998</v>
      </c>
      <c r="E97" s="319"/>
      <c r="F97" s="318" t="e">
        <f>+$F$94*$D97</f>
        <v>#NUM!</v>
      </c>
      <c r="G97" s="319"/>
      <c r="H97" s="318">
        <f>IF('Reference Tables (Segment)'!$B$55="No",IF($J$9="2U",'Reference Tables (Segment)'!D60,IF($J$9="3T",'Reference Tables (Segment)'!F60,IF($J$9="4U",'Reference Tables (Segment)'!H60,IF($J$9="4D",'Reference Tables (Segment)'!J60,'Reference Tables (Segment)'!L60)))),IF($J$9="2U",'Reference Tables (Segment)'!D68,IF($J$9="3T",'Reference Tables (Segment)'!F68,IF($J$9="4U",'Reference Tables (Segment)'!H68,IF($J$9="4D",'Reference Tables (Segment)'!J68,'Reference Tables (Segment)'!L68)))))</f>
        <v>0.75900000000000001</v>
      </c>
      <c r="I97" s="319"/>
      <c r="J97" s="318" t="e">
        <f>+$J$94*H97</f>
        <v>#NUM!</v>
      </c>
      <c r="K97" s="319"/>
      <c r="L97" s="320" t="e">
        <f>+F97+J97</f>
        <v>#NUM!</v>
      </c>
      <c r="M97" s="320"/>
      <c r="N97" s="321"/>
      <c r="O97" s="131"/>
      <c r="P97" s="131"/>
    </row>
    <row r="98" spans="1:16" x14ac:dyDescent="0.2">
      <c r="A98" s="335" t="s">
        <v>259</v>
      </c>
      <c r="B98" s="333"/>
      <c r="C98" s="333"/>
      <c r="D98" s="318">
        <f>IF('Reference Tables (Segment)'!$B$55="No", HLOOKUP($J$9,'Reference Tables (Segment)'!$C$57:$L$62,5,FALSE),HLOOKUP($J$9,'Reference Tables (Segment)'!$C$65:$L$70,5,FALSE))</f>
        <v>0.01</v>
      </c>
      <c r="E98" s="319"/>
      <c r="F98" s="318" t="e">
        <f>+$F$94*$D98</f>
        <v>#NUM!</v>
      </c>
      <c r="G98" s="319"/>
      <c r="H98" s="318">
        <f>IF('Reference Tables (Segment)'!$B$55="No",IF($J$9="2U",'Reference Tables (Segment)'!D61,IF($J$9="3T",'Reference Tables (Segment)'!F61,IF($J$9="4U",'Reference Tables (Segment)'!H61,IF($J$9="4D",'Reference Tables (Segment)'!J61,'Reference Tables (Segment)'!L61)))),IF($J$9="2U",'Reference Tables (Segment)'!D69,IF($J$9="3T",'Reference Tables (Segment)'!F69,IF($J$9="4U",'Reference Tables (Segment)'!H69,IF($J$9="4D",'Reference Tables (Segment)'!J69,'Reference Tables (Segment)'!L69)))))</f>
        <v>1.2999999999999999E-2</v>
      </c>
      <c r="I98" s="319"/>
      <c r="J98" s="318" t="e">
        <f>+$J$94*H98</f>
        <v>#NUM!</v>
      </c>
      <c r="K98" s="319"/>
      <c r="L98" s="320" t="e">
        <f>+F98+J98</f>
        <v>#NUM!</v>
      </c>
      <c r="M98" s="320"/>
      <c r="N98" s="321"/>
      <c r="O98" s="131"/>
      <c r="P98" s="131"/>
    </row>
    <row r="99" spans="1:16" ht="13.5" thickBot="1" x14ac:dyDescent="0.25">
      <c r="A99" s="310" t="s">
        <v>260</v>
      </c>
      <c r="B99" s="311"/>
      <c r="C99" s="311"/>
      <c r="D99" s="312">
        <f>IF('Reference Tables (Segment)'!$B$55="No", HLOOKUP($J$9,'Reference Tables (Segment)'!$C$57:$L$62,6,FALSE),HLOOKUP($J$9,'Reference Tables (Segment)'!$C$65:$L$70,6,FALSE))</f>
        <v>0.24099999999999999</v>
      </c>
      <c r="E99" s="313"/>
      <c r="F99" s="312" t="e">
        <f>+$F$94*$D99</f>
        <v>#NUM!</v>
      </c>
      <c r="G99" s="313"/>
      <c r="H99" s="312">
        <f>IF('Reference Tables (Segment)'!$B$55="No",IF($J$9="2U",'Reference Tables (Segment)'!D62,IF($J$9="3T",'Reference Tables (Segment)'!F62,IF($J$9="4U",'Reference Tables (Segment)'!H62,IF($J$9="4D",'Reference Tables (Segment)'!J62,'Reference Tables (Segment)'!L62)))),IF($J$9="2U",'Reference Tables (Segment)'!D70,IF($J$9="3T",'Reference Tables (Segment)'!F70,IF($J$9="4U",'Reference Tables (Segment)'!H70,IF($J$9="4D",'Reference Tables (Segment)'!J70,'Reference Tables (Segment)'!L70)))))</f>
        <v>0.16200000000000001</v>
      </c>
      <c r="I99" s="313"/>
      <c r="J99" s="312" t="e">
        <f>+$J$94*H99</f>
        <v>#NUM!</v>
      </c>
      <c r="K99" s="313"/>
      <c r="L99" s="316" t="e">
        <f>+F99+J99</f>
        <v>#NUM!</v>
      </c>
      <c r="M99" s="316"/>
      <c r="N99" s="317"/>
      <c r="O99" s="131"/>
      <c r="P99" s="131"/>
    </row>
    <row r="100" spans="1:16" x14ac:dyDescent="0.2">
      <c r="A100" s="15"/>
      <c r="B100" s="15"/>
      <c r="C100" s="34"/>
      <c r="D100" s="34"/>
      <c r="E100" s="34"/>
      <c r="F100" s="34"/>
      <c r="G100" s="34"/>
      <c r="H100" s="34"/>
      <c r="I100" s="34"/>
      <c r="J100" s="34"/>
      <c r="K100" s="34"/>
      <c r="L100" s="34"/>
      <c r="M100" s="34"/>
      <c r="N100" s="131"/>
      <c r="O100" s="131"/>
      <c r="P100" s="131"/>
    </row>
    <row r="101" spans="1:16" x14ac:dyDescent="0.2">
      <c r="A101" s="15"/>
      <c r="B101" s="15"/>
      <c r="C101" s="34"/>
      <c r="D101" s="34"/>
      <c r="E101" s="34"/>
      <c r="F101" s="34"/>
      <c r="G101" s="34"/>
      <c r="H101" s="34"/>
      <c r="I101" s="34"/>
      <c r="J101" s="34"/>
      <c r="K101" s="34"/>
      <c r="L101" s="34"/>
      <c r="M101" s="34"/>
      <c r="N101" s="131"/>
      <c r="O101" s="131"/>
      <c r="P101" s="131"/>
    </row>
    <row r="102" spans="1:16" ht="13.5" thickBot="1" x14ac:dyDescent="0.25">
      <c r="A102" s="15"/>
      <c r="B102" s="15"/>
      <c r="C102" s="34"/>
      <c r="D102" s="34"/>
      <c r="E102" s="34"/>
      <c r="F102" s="34"/>
      <c r="G102" s="34"/>
      <c r="H102" s="34"/>
      <c r="I102" s="34"/>
      <c r="J102" s="34"/>
      <c r="K102" s="34"/>
      <c r="L102" s="34"/>
      <c r="M102" s="34"/>
      <c r="N102" s="131"/>
      <c r="O102" s="131"/>
      <c r="P102" s="131"/>
    </row>
    <row r="103" spans="1:16" ht="14.25" thickTop="1" thickBot="1" x14ac:dyDescent="0.25">
      <c r="A103" s="309" t="s">
        <v>267</v>
      </c>
      <c r="B103" s="358"/>
      <c r="C103" s="358"/>
      <c r="D103" s="358"/>
      <c r="E103" s="358"/>
      <c r="F103" s="358"/>
      <c r="G103" s="358"/>
      <c r="H103" s="358"/>
      <c r="I103" s="359"/>
      <c r="J103" s="359"/>
      <c r="K103" s="359"/>
      <c r="L103" s="359"/>
      <c r="M103" s="359"/>
      <c r="N103" s="359"/>
      <c r="O103" s="131"/>
      <c r="P103" s="131"/>
    </row>
    <row r="104" spans="1:16" x14ac:dyDescent="0.2">
      <c r="A104" s="504" t="s">
        <v>16</v>
      </c>
      <c r="B104" s="505"/>
      <c r="C104" s="505"/>
      <c r="D104" s="518" t="s">
        <v>17</v>
      </c>
      <c r="E104" s="515"/>
      <c r="F104" s="511" t="s">
        <v>18</v>
      </c>
      <c r="G104" s="515"/>
      <c r="H104" s="511" t="s">
        <v>19</v>
      </c>
      <c r="I104" s="512"/>
      <c r="J104" s="513" t="s">
        <v>20</v>
      </c>
      <c r="K104" s="514"/>
      <c r="L104" s="514"/>
      <c r="M104" s="511" t="s">
        <v>21</v>
      </c>
      <c r="N104" s="515"/>
      <c r="O104" s="131"/>
      <c r="P104" s="131"/>
    </row>
    <row r="105" spans="1:16" x14ac:dyDescent="0.2">
      <c r="A105" s="496" t="s">
        <v>268</v>
      </c>
      <c r="B105" s="497"/>
      <c r="C105" s="497"/>
      <c r="D105" s="509" t="s">
        <v>273</v>
      </c>
      <c r="E105" s="509"/>
      <c r="F105" s="509" t="s">
        <v>271</v>
      </c>
      <c r="G105" s="509"/>
      <c r="H105" s="509" t="s">
        <v>270</v>
      </c>
      <c r="I105" s="509"/>
      <c r="J105" s="516" t="s">
        <v>272</v>
      </c>
      <c r="K105" s="516"/>
      <c r="L105" s="516"/>
      <c r="M105" s="509" t="s">
        <v>269</v>
      </c>
      <c r="N105" s="291"/>
      <c r="O105" s="61"/>
      <c r="P105" s="61"/>
    </row>
    <row r="106" spans="1:16" x14ac:dyDescent="0.2">
      <c r="A106" s="498"/>
      <c r="B106" s="499"/>
      <c r="C106" s="499"/>
      <c r="D106" s="519"/>
      <c r="E106" s="519"/>
      <c r="F106" s="510"/>
      <c r="G106" s="510"/>
      <c r="H106" s="510"/>
      <c r="I106" s="510"/>
      <c r="J106" s="517"/>
      <c r="K106" s="517"/>
      <c r="L106" s="517"/>
      <c r="M106" s="510"/>
      <c r="N106" s="293"/>
      <c r="O106" s="15"/>
      <c r="P106" s="15"/>
    </row>
    <row r="107" spans="1:16" x14ac:dyDescent="0.2">
      <c r="A107" s="498"/>
      <c r="B107" s="499"/>
      <c r="C107" s="499"/>
      <c r="D107" s="519"/>
      <c r="E107" s="519"/>
      <c r="F107" s="300" t="s">
        <v>587</v>
      </c>
      <c r="G107" s="301"/>
      <c r="H107" s="300" t="s">
        <v>587</v>
      </c>
      <c r="I107" s="301"/>
      <c r="J107" s="520" t="s">
        <v>274</v>
      </c>
      <c r="K107" s="521"/>
      <c r="L107" s="521"/>
      <c r="M107" s="507" t="s">
        <v>587</v>
      </c>
      <c r="N107" s="508"/>
      <c r="O107" s="15"/>
      <c r="P107" s="15"/>
    </row>
    <row r="108" spans="1:16" ht="15.75" x14ac:dyDescent="0.2">
      <c r="A108" s="500"/>
      <c r="B108" s="501"/>
      <c r="C108" s="501"/>
      <c r="D108" s="302"/>
      <c r="E108" s="302"/>
      <c r="F108" s="302"/>
      <c r="G108" s="302"/>
      <c r="H108" s="302"/>
      <c r="I108" s="302"/>
      <c r="J108" s="330" t="s">
        <v>275</v>
      </c>
      <c r="K108" s="331"/>
      <c r="L108" s="331"/>
      <c r="M108" s="364"/>
      <c r="N108" s="395"/>
      <c r="O108" s="51"/>
      <c r="P108" s="51"/>
    </row>
    <row r="109" spans="1:16" x14ac:dyDescent="0.2">
      <c r="A109" s="502" t="s">
        <v>276</v>
      </c>
      <c r="B109" s="503"/>
      <c r="C109" s="503"/>
      <c r="D109" s="327">
        <f t="shared" ref="D109:D115" si="3">+J17</f>
        <v>0</v>
      </c>
      <c r="E109" s="327"/>
      <c r="F109" s="524">
        <f>HLOOKUP($J$9,'Reference Tables (Segment)'!$P$5:$T$13,3,FALSE)</f>
        <v>0.158</v>
      </c>
      <c r="G109" s="524"/>
      <c r="H109" s="524">
        <f>HLOOKUP($J$9,'Reference Tables (Segment)'!$P$5:$T$21,11,FALSE)</f>
        <v>1</v>
      </c>
      <c r="I109" s="524"/>
      <c r="J109" s="527">
        <f t="shared" ref="J109:J115" si="4">POWER(($J$11/15000),H109)*D109*F109</f>
        <v>0</v>
      </c>
      <c r="K109" s="528"/>
      <c r="L109" s="528"/>
      <c r="M109" s="532" t="s">
        <v>14</v>
      </c>
      <c r="N109" s="533"/>
      <c r="O109" s="24"/>
      <c r="P109" s="24"/>
    </row>
    <row r="110" spans="1:16" x14ac:dyDescent="0.2">
      <c r="A110" s="506" t="s">
        <v>277</v>
      </c>
      <c r="B110" s="329"/>
      <c r="C110" s="329"/>
      <c r="D110" s="327">
        <f t="shared" si="3"/>
        <v>0</v>
      </c>
      <c r="E110" s="327"/>
      <c r="F110" s="524">
        <f>HLOOKUP($J$9,'Reference Tables (Segment)'!$P$5:$T$13,4,FALSE)</f>
        <v>0.05</v>
      </c>
      <c r="G110" s="524"/>
      <c r="H110" s="524">
        <f>HLOOKUP($J$9,'Reference Tables (Segment)'!$P$5:$T$21,11,FALSE)</f>
        <v>1</v>
      </c>
      <c r="I110" s="524"/>
      <c r="J110" s="527">
        <f t="shared" si="4"/>
        <v>0</v>
      </c>
      <c r="K110" s="528"/>
      <c r="L110" s="528"/>
      <c r="M110" s="534"/>
      <c r="N110" s="535"/>
      <c r="O110" s="112"/>
      <c r="P110" s="112"/>
    </row>
    <row r="111" spans="1:16" x14ac:dyDescent="0.2">
      <c r="A111" s="328" t="s">
        <v>278</v>
      </c>
      <c r="B111" s="329"/>
      <c r="C111" s="329"/>
      <c r="D111" s="327">
        <f t="shared" si="3"/>
        <v>0</v>
      </c>
      <c r="E111" s="327"/>
      <c r="F111" s="524">
        <f>HLOOKUP($J$9,'Reference Tables (Segment)'!$P$5:$T$13,5,FALSE)</f>
        <v>0.17199999999999999</v>
      </c>
      <c r="G111" s="524"/>
      <c r="H111" s="524">
        <f>HLOOKUP($J$9,'Reference Tables (Segment)'!$P$5:$T$21,11,FALSE)</f>
        <v>1</v>
      </c>
      <c r="I111" s="524"/>
      <c r="J111" s="527">
        <f t="shared" si="4"/>
        <v>0</v>
      </c>
      <c r="K111" s="528"/>
      <c r="L111" s="528"/>
      <c r="M111" s="534"/>
      <c r="N111" s="535"/>
      <c r="O111" s="24"/>
      <c r="P111" s="24"/>
    </row>
    <row r="112" spans="1:16" x14ac:dyDescent="0.2">
      <c r="A112" s="324" t="s">
        <v>279</v>
      </c>
      <c r="B112" s="325"/>
      <c r="C112" s="325"/>
      <c r="D112" s="327">
        <f t="shared" si="3"/>
        <v>0</v>
      </c>
      <c r="E112" s="327"/>
      <c r="F112" s="524">
        <f>HLOOKUP($J$9,'Reference Tables (Segment)'!$P$5:$T$13,6,FALSE)</f>
        <v>2.3E-2</v>
      </c>
      <c r="G112" s="524"/>
      <c r="H112" s="524">
        <f>HLOOKUP($J$9,'Reference Tables (Segment)'!$P$5:$T$21,11,FALSE)</f>
        <v>1</v>
      </c>
      <c r="I112" s="524"/>
      <c r="J112" s="527">
        <f t="shared" si="4"/>
        <v>0</v>
      </c>
      <c r="K112" s="528"/>
      <c r="L112" s="528"/>
      <c r="M112" s="534"/>
      <c r="N112" s="535"/>
      <c r="O112" s="132"/>
      <c r="P112" s="132"/>
    </row>
    <row r="113" spans="1:16" x14ac:dyDescent="0.2">
      <c r="A113" s="324" t="s">
        <v>280</v>
      </c>
      <c r="B113" s="325"/>
      <c r="C113" s="325"/>
      <c r="D113" s="327">
        <f t="shared" si="3"/>
        <v>0</v>
      </c>
      <c r="E113" s="327"/>
      <c r="F113" s="524">
        <f>HLOOKUP($J$9,'Reference Tables (Segment)'!$P$5:$T$13,7,FALSE)</f>
        <v>8.3000000000000004E-2</v>
      </c>
      <c r="G113" s="524"/>
      <c r="H113" s="524">
        <f>HLOOKUP($J$9,'Reference Tables (Segment)'!$P$5:$T$21,11,FALSE)</f>
        <v>1</v>
      </c>
      <c r="I113" s="524"/>
      <c r="J113" s="527">
        <f t="shared" si="4"/>
        <v>0</v>
      </c>
      <c r="K113" s="528"/>
      <c r="L113" s="528"/>
      <c r="M113" s="534"/>
      <c r="N113" s="535"/>
      <c r="O113" s="132"/>
      <c r="P113" s="132"/>
    </row>
    <row r="114" spans="1:16" x14ac:dyDescent="0.2">
      <c r="A114" s="324" t="s">
        <v>281</v>
      </c>
      <c r="B114" s="325"/>
      <c r="C114" s="325"/>
      <c r="D114" s="327">
        <f t="shared" si="3"/>
        <v>0</v>
      </c>
      <c r="E114" s="327"/>
      <c r="F114" s="524">
        <f>HLOOKUP($J$9,'Reference Tables (Segment)'!$P$5:$T$13,8,FALSE)</f>
        <v>1.6E-2</v>
      </c>
      <c r="G114" s="524"/>
      <c r="H114" s="524">
        <f>HLOOKUP($J$9,'Reference Tables (Segment)'!$P$5:$T$21,11,FALSE)</f>
        <v>1</v>
      </c>
      <c r="I114" s="524"/>
      <c r="J114" s="527">
        <f t="shared" si="4"/>
        <v>0</v>
      </c>
      <c r="K114" s="528"/>
      <c r="L114" s="528"/>
      <c r="M114" s="534"/>
      <c r="N114" s="535"/>
      <c r="O114" s="132"/>
      <c r="P114" s="132"/>
    </row>
    <row r="115" spans="1:16" x14ac:dyDescent="0.2">
      <c r="A115" s="324" t="s">
        <v>96</v>
      </c>
      <c r="B115" s="325"/>
      <c r="C115" s="325"/>
      <c r="D115" s="327">
        <f t="shared" si="3"/>
        <v>0</v>
      </c>
      <c r="E115" s="327"/>
      <c r="F115" s="524">
        <f>HLOOKUP($J$9,'Reference Tables (Segment)'!$P$5:$T$13,9,FALSE)</f>
        <v>2.5000000000000001E-2</v>
      </c>
      <c r="G115" s="524"/>
      <c r="H115" s="524">
        <f>HLOOKUP($J$9,'Reference Tables (Segment)'!$P$5:$T$21,11,FALSE)</f>
        <v>1</v>
      </c>
      <c r="I115" s="524"/>
      <c r="J115" s="527">
        <f t="shared" si="4"/>
        <v>0</v>
      </c>
      <c r="K115" s="528"/>
      <c r="L115" s="528"/>
      <c r="M115" s="536"/>
      <c r="N115" s="537"/>
      <c r="O115" s="132"/>
      <c r="P115" s="132"/>
    </row>
    <row r="116" spans="1:16" ht="13.5" thickBot="1" x14ac:dyDescent="0.25">
      <c r="A116" s="310" t="s">
        <v>35</v>
      </c>
      <c r="B116" s="326"/>
      <c r="C116" s="326"/>
      <c r="D116" s="522" t="s">
        <v>14</v>
      </c>
      <c r="E116" s="523"/>
      <c r="F116" s="522" t="s">
        <v>14</v>
      </c>
      <c r="G116" s="523"/>
      <c r="H116" s="522" t="s">
        <v>14</v>
      </c>
      <c r="I116" s="523"/>
      <c r="J116" s="529">
        <f>SUM(J109:L115)</f>
        <v>0</v>
      </c>
      <c r="K116" s="530"/>
      <c r="L116" s="530"/>
      <c r="M116" s="299">
        <f>HLOOKUP($J$9,'Reference Tables (Segment)'!$P$5:$T$21,13,FALSE)</f>
        <v>0.81</v>
      </c>
      <c r="N116" s="531"/>
      <c r="O116" s="61"/>
      <c r="P116" s="61"/>
    </row>
    <row r="117" spans="1:16" x14ac:dyDescent="0.2">
      <c r="A117" s="15"/>
      <c r="B117" s="15"/>
      <c r="C117" s="15"/>
      <c r="D117" s="15"/>
      <c r="E117" s="15"/>
      <c r="F117" s="15"/>
      <c r="G117" s="15"/>
      <c r="H117" s="15"/>
      <c r="I117" s="15"/>
      <c r="J117" s="15"/>
      <c r="K117" s="15"/>
      <c r="L117" s="15"/>
      <c r="M117" s="15"/>
      <c r="N117" s="15"/>
    </row>
    <row r="118" spans="1:16" x14ac:dyDescent="0.2">
      <c r="A118" s="15"/>
      <c r="B118" s="15"/>
      <c r="C118" s="15"/>
      <c r="D118" s="15"/>
      <c r="E118" s="15"/>
      <c r="F118" s="15"/>
      <c r="G118" s="15"/>
      <c r="H118" s="15"/>
      <c r="I118" s="15"/>
      <c r="J118" s="15"/>
      <c r="K118" s="15"/>
      <c r="L118" s="15"/>
      <c r="M118" s="15"/>
      <c r="N118" s="15"/>
    </row>
    <row r="119" spans="1:16" ht="13.5" thickBot="1" x14ac:dyDescent="0.25">
      <c r="A119" s="15"/>
      <c r="B119" s="15"/>
      <c r="C119" s="15"/>
      <c r="D119" s="15"/>
      <c r="E119" s="15"/>
      <c r="F119" s="15"/>
      <c r="G119" s="15"/>
      <c r="H119" s="15"/>
      <c r="I119" s="15"/>
      <c r="J119" s="15"/>
      <c r="K119" s="15"/>
      <c r="L119" s="15"/>
      <c r="M119" s="15"/>
      <c r="N119" s="15"/>
    </row>
    <row r="120" spans="1:16" ht="14.25" thickTop="1" thickBot="1" x14ac:dyDescent="0.25">
      <c r="A120" s="309" t="s">
        <v>282</v>
      </c>
      <c r="B120" s="358"/>
      <c r="C120" s="358"/>
      <c r="D120" s="358"/>
      <c r="E120" s="358"/>
      <c r="F120" s="358"/>
      <c r="G120" s="358"/>
      <c r="H120" s="358"/>
      <c r="I120" s="359"/>
      <c r="J120" s="359"/>
      <c r="K120" s="359"/>
      <c r="L120" s="359"/>
      <c r="M120" s="359"/>
      <c r="N120" s="359"/>
    </row>
    <row r="121" spans="1:16" x14ac:dyDescent="0.2">
      <c r="A121" s="322" t="s">
        <v>16</v>
      </c>
      <c r="B121" s="323"/>
      <c r="C121" s="323"/>
      <c r="D121" s="308" t="s">
        <v>17</v>
      </c>
      <c r="E121" s="308"/>
      <c r="F121" s="278" t="s">
        <v>18</v>
      </c>
      <c r="G121" s="278"/>
      <c r="H121" s="100" t="s">
        <v>19</v>
      </c>
      <c r="I121" s="278" t="s">
        <v>20</v>
      </c>
      <c r="J121" s="278"/>
      <c r="K121" s="278" t="s">
        <v>21</v>
      </c>
      <c r="L121" s="278"/>
      <c r="M121" s="525" t="s">
        <v>22</v>
      </c>
      <c r="N121" s="526"/>
    </row>
    <row r="122" spans="1:16" x14ac:dyDescent="0.2">
      <c r="A122" s="305" t="s">
        <v>32</v>
      </c>
      <c r="B122" s="306"/>
      <c r="C122" s="306"/>
      <c r="D122" s="538" t="s">
        <v>272</v>
      </c>
      <c r="E122" s="538"/>
      <c r="F122" s="281" t="s">
        <v>283</v>
      </c>
      <c r="G122" s="281"/>
      <c r="H122" s="281" t="s">
        <v>284</v>
      </c>
      <c r="I122" s="281" t="s">
        <v>34</v>
      </c>
      <c r="J122" s="281"/>
      <c r="K122" s="281" t="s">
        <v>285</v>
      </c>
      <c r="L122" s="281"/>
      <c r="M122" s="543" t="s">
        <v>286</v>
      </c>
      <c r="N122" s="544"/>
    </row>
    <row r="123" spans="1:16" x14ac:dyDescent="0.2">
      <c r="A123" s="307"/>
      <c r="B123" s="306"/>
      <c r="C123" s="306"/>
      <c r="D123" s="538"/>
      <c r="E123" s="538"/>
      <c r="F123" s="281"/>
      <c r="G123" s="281"/>
      <c r="H123" s="281"/>
      <c r="I123" s="281"/>
      <c r="J123" s="281"/>
      <c r="K123" s="281"/>
      <c r="L123" s="281"/>
      <c r="M123" s="543"/>
      <c r="N123" s="544"/>
    </row>
    <row r="124" spans="1:16" x14ac:dyDescent="0.2">
      <c r="A124" s="307"/>
      <c r="B124" s="306"/>
      <c r="C124" s="306"/>
      <c r="D124" s="491" t="s">
        <v>287</v>
      </c>
      <c r="E124" s="492"/>
      <c r="F124" s="349" t="s">
        <v>587</v>
      </c>
      <c r="G124" s="490"/>
      <c r="H124" s="349" t="s">
        <v>288</v>
      </c>
      <c r="I124" s="349" t="s">
        <v>219</v>
      </c>
      <c r="J124" s="490"/>
      <c r="K124" s="490"/>
      <c r="L124" s="490"/>
      <c r="M124" s="541" t="s">
        <v>289</v>
      </c>
      <c r="N124" s="400"/>
    </row>
    <row r="125" spans="1:16" ht="14.25" customHeight="1" x14ac:dyDescent="0.2">
      <c r="A125" s="307"/>
      <c r="B125" s="306"/>
      <c r="C125" s="306"/>
      <c r="D125" s="492"/>
      <c r="E125" s="492"/>
      <c r="F125" s="490"/>
      <c r="G125" s="490"/>
      <c r="H125" s="490"/>
      <c r="I125" s="490"/>
      <c r="J125" s="490"/>
      <c r="K125" s="490"/>
      <c r="L125" s="490"/>
      <c r="M125" s="542"/>
      <c r="N125" s="400"/>
    </row>
    <row r="126" spans="1:16" x14ac:dyDescent="0.2">
      <c r="A126" s="284" t="s">
        <v>35</v>
      </c>
      <c r="B126" s="285"/>
      <c r="C126" s="285"/>
      <c r="D126" s="382">
        <f>+J116</f>
        <v>0</v>
      </c>
      <c r="E126" s="546"/>
      <c r="F126" s="524">
        <v>1</v>
      </c>
      <c r="G126" s="524"/>
      <c r="H126" s="3">
        <f>+$D$126*F126</f>
        <v>0</v>
      </c>
      <c r="I126" s="545">
        <f>+$M$37</f>
        <v>1</v>
      </c>
      <c r="J126" s="336"/>
      <c r="K126" s="545">
        <f>+$J$27</f>
        <v>1</v>
      </c>
      <c r="L126" s="336"/>
      <c r="M126" s="539">
        <f>+H126*I126*K126</f>
        <v>0</v>
      </c>
      <c r="N126" s="540"/>
    </row>
    <row r="127" spans="1:16" x14ac:dyDescent="0.2">
      <c r="A127" s="284" t="s">
        <v>133</v>
      </c>
      <c r="B127" s="285"/>
      <c r="C127" s="285"/>
      <c r="D127" s="547" t="s">
        <v>14</v>
      </c>
      <c r="E127" s="546"/>
      <c r="F127" s="524">
        <f>HLOOKUP($J$9,'Reference Tables (Segment)'!$P$5:$T$21,15,FALSE)</f>
        <v>0.32300000000000001</v>
      </c>
      <c r="G127" s="524"/>
      <c r="H127" s="3">
        <f>+$D$126*F127</f>
        <v>0</v>
      </c>
      <c r="I127" s="545">
        <f>+$M$37</f>
        <v>1</v>
      </c>
      <c r="J127" s="336"/>
      <c r="K127" s="545">
        <f>+$J$27</f>
        <v>1</v>
      </c>
      <c r="L127" s="336"/>
      <c r="M127" s="539">
        <f>+H127*I127*K127</f>
        <v>0</v>
      </c>
      <c r="N127" s="540"/>
    </row>
    <row r="128" spans="1:16" ht="13.5" thickBot="1" x14ac:dyDescent="0.25">
      <c r="A128" s="287" t="s">
        <v>134</v>
      </c>
      <c r="B128" s="288"/>
      <c r="C128" s="288"/>
      <c r="D128" s="548" t="s">
        <v>14</v>
      </c>
      <c r="E128" s="549"/>
      <c r="F128" s="553">
        <f>HLOOKUP($J$9,'Reference Tables (Segment)'!$P$5:$T$21,17,FALSE)</f>
        <v>0.67700000000000005</v>
      </c>
      <c r="G128" s="553"/>
      <c r="H128" s="50">
        <f>+$D$126*F128</f>
        <v>0</v>
      </c>
      <c r="I128" s="531">
        <f>+$M$37</f>
        <v>1</v>
      </c>
      <c r="J128" s="523"/>
      <c r="K128" s="531">
        <f>+$J$27</f>
        <v>1</v>
      </c>
      <c r="L128" s="523"/>
      <c r="M128" s="550">
        <f>+H128*I128*K128</f>
        <v>0</v>
      </c>
      <c r="N128" s="551"/>
    </row>
    <row r="131" spans="1:14" ht="13.5" thickBot="1" x14ac:dyDescent="0.25"/>
    <row r="132" spans="1:14" ht="14.25" thickTop="1" thickBot="1" x14ac:dyDescent="0.25">
      <c r="A132" s="309" t="s">
        <v>290</v>
      </c>
      <c r="B132" s="358"/>
      <c r="C132" s="358"/>
      <c r="D132" s="358"/>
      <c r="E132" s="358"/>
      <c r="F132" s="358"/>
      <c r="G132" s="358"/>
      <c r="H132" s="358"/>
      <c r="I132" s="359"/>
      <c r="J132" s="359"/>
      <c r="K132" s="359"/>
      <c r="L132" s="359"/>
      <c r="M132" s="359"/>
      <c r="N132" s="359"/>
    </row>
    <row r="133" spans="1:14" x14ac:dyDescent="0.2">
      <c r="A133" s="489" t="s">
        <v>16</v>
      </c>
      <c r="B133" s="278"/>
      <c r="C133" s="278" t="s">
        <v>17</v>
      </c>
      <c r="D133" s="278"/>
      <c r="E133" s="278" t="s">
        <v>18</v>
      </c>
      <c r="F133" s="278"/>
      <c r="G133" s="278" t="s">
        <v>19</v>
      </c>
      <c r="H133" s="278"/>
      <c r="I133" s="278" t="s">
        <v>20</v>
      </c>
      <c r="J133" s="278"/>
      <c r="K133" s="100" t="s">
        <v>21</v>
      </c>
      <c r="L133" s="100" t="s">
        <v>22</v>
      </c>
      <c r="M133" s="308" t="s">
        <v>23</v>
      </c>
      <c r="N133" s="552"/>
    </row>
    <row r="134" spans="1:14" ht="15.75" customHeight="1" x14ac:dyDescent="0.25">
      <c r="A134" s="305" t="s">
        <v>32</v>
      </c>
      <c r="B134" s="558"/>
      <c r="C134" s="563" t="s">
        <v>216</v>
      </c>
      <c r="D134" s="563"/>
      <c r="E134" s="563" t="s">
        <v>255</v>
      </c>
      <c r="F134" s="563"/>
      <c r="G134" s="563" t="s">
        <v>286</v>
      </c>
      <c r="H134" s="563"/>
      <c r="I134" s="563" t="s">
        <v>294</v>
      </c>
      <c r="J134" s="563"/>
      <c r="K134" s="21" t="s">
        <v>300</v>
      </c>
      <c r="L134" s="281" t="s">
        <v>285</v>
      </c>
      <c r="M134" s="280" t="s">
        <v>291</v>
      </c>
      <c r="N134" s="564"/>
    </row>
    <row r="135" spans="1:14" x14ac:dyDescent="0.2">
      <c r="A135" s="305"/>
      <c r="B135" s="558"/>
      <c r="C135" s="349" t="s">
        <v>295</v>
      </c>
      <c r="D135" s="490"/>
      <c r="E135" s="349" t="s">
        <v>296</v>
      </c>
      <c r="F135" s="490"/>
      <c r="G135" s="349" t="s">
        <v>297</v>
      </c>
      <c r="H135" s="349"/>
      <c r="I135" s="349" t="s">
        <v>298</v>
      </c>
      <c r="J135" s="490"/>
      <c r="K135" s="349" t="s">
        <v>588</v>
      </c>
      <c r="L135" s="490"/>
      <c r="M135" s="491" t="s">
        <v>292</v>
      </c>
      <c r="N135" s="565"/>
    </row>
    <row r="136" spans="1:14" x14ac:dyDescent="0.2">
      <c r="A136" s="305"/>
      <c r="B136" s="558"/>
      <c r="C136" s="490"/>
      <c r="D136" s="490"/>
      <c r="E136" s="490"/>
      <c r="F136" s="490"/>
      <c r="G136" s="349"/>
      <c r="H136" s="349"/>
      <c r="I136" s="490"/>
      <c r="J136" s="490"/>
      <c r="K136" s="490"/>
      <c r="L136" s="490"/>
      <c r="M136" s="492"/>
      <c r="N136" s="564"/>
    </row>
    <row r="137" spans="1:14" x14ac:dyDescent="0.2">
      <c r="A137" s="559" t="s">
        <v>35</v>
      </c>
      <c r="B137" s="333"/>
      <c r="C137" s="318" t="e">
        <f>+$N$47</f>
        <v>#NUM!</v>
      </c>
      <c r="D137" s="336"/>
      <c r="E137" s="318" t="e">
        <f>+$N$79</f>
        <v>#NUM!</v>
      </c>
      <c r="F137" s="336"/>
      <c r="G137" s="318">
        <f>+$M$126</f>
        <v>0</v>
      </c>
      <c r="H137" s="336"/>
      <c r="I137" s="318" t="e">
        <f>+C137+E137+G137</f>
        <v>#NUM!</v>
      </c>
      <c r="J137" s="336"/>
      <c r="K137" s="97">
        <f>IF('Reference Tables (Segment)'!$B$76="No", (IF($J$24="Posted Speed 30 mph or Lower",VLOOKUP($J$9,'Reference Tables (Segment)'!$A$79:$J$83,3,FALSE),VLOOKUP($J$9,'Reference Tables (Segment)'!$A$79:$J$83,5,FALSE))),(IF($J$24="Posted Speed 30 mph or Lower", VLOOKUP($J$9,'Reference Tables (Segment)'!$A$79:$J$83,7,FALSE),VLOOKUP($J$9,'Reference Tables (Segment)'!$A$79:$J$83,9,FALSE))))</f>
        <v>3.5999999999999997E-2</v>
      </c>
      <c r="L137" s="163">
        <f>+$J$27</f>
        <v>1</v>
      </c>
      <c r="M137" s="554" t="e">
        <f>+$I$137*$K$137*$L$137</f>
        <v>#NUM!</v>
      </c>
      <c r="N137" s="555"/>
    </row>
    <row r="138" spans="1:14" ht="13.5" thickBot="1" x14ac:dyDescent="0.25">
      <c r="A138" s="560" t="s">
        <v>133</v>
      </c>
      <c r="B138" s="311"/>
      <c r="C138" s="561" t="s">
        <v>14</v>
      </c>
      <c r="D138" s="562"/>
      <c r="E138" s="561" t="s">
        <v>14</v>
      </c>
      <c r="F138" s="562"/>
      <c r="G138" s="561" t="s">
        <v>14</v>
      </c>
      <c r="H138" s="562"/>
      <c r="I138" s="561" t="s">
        <v>14</v>
      </c>
      <c r="J138" s="562"/>
      <c r="K138" s="155" t="s">
        <v>14</v>
      </c>
      <c r="L138" s="164">
        <f>+$J$27</f>
        <v>1</v>
      </c>
      <c r="M138" s="556" t="e">
        <f>+$I$137*$K$137*$L$137</f>
        <v>#NUM!</v>
      </c>
      <c r="N138" s="557"/>
    </row>
    <row r="141" spans="1:14" ht="13.5" thickBot="1" x14ac:dyDescent="0.25"/>
    <row r="142" spans="1:14" ht="14.25" thickTop="1" thickBot="1" x14ac:dyDescent="0.25">
      <c r="A142" s="309" t="s">
        <v>299</v>
      </c>
      <c r="B142" s="358"/>
      <c r="C142" s="358"/>
      <c r="D142" s="358"/>
      <c r="E142" s="358"/>
      <c r="F142" s="358"/>
      <c r="G142" s="358"/>
      <c r="H142" s="358"/>
      <c r="I142" s="359"/>
      <c r="J142" s="359"/>
      <c r="K142" s="359"/>
      <c r="L142" s="359"/>
      <c r="M142" s="359"/>
      <c r="N142" s="359"/>
    </row>
    <row r="143" spans="1:14" x14ac:dyDescent="0.2">
      <c r="A143" s="489" t="s">
        <v>16</v>
      </c>
      <c r="B143" s="278"/>
      <c r="C143" s="278" t="s">
        <v>17</v>
      </c>
      <c r="D143" s="278"/>
      <c r="E143" s="278" t="s">
        <v>18</v>
      </c>
      <c r="F143" s="278"/>
      <c r="G143" s="278" t="s">
        <v>19</v>
      </c>
      <c r="H143" s="278"/>
      <c r="I143" s="278" t="s">
        <v>20</v>
      </c>
      <c r="J143" s="278"/>
      <c r="K143" s="100" t="s">
        <v>21</v>
      </c>
      <c r="L143" s="100" t="s">
        <v>22</v>
      </c>
      <c r="M143" s="308" t="s">
        <v>23</v>
      </c>
      <c r="N143" s="552"/>
    </row>
    <row r="144" spans="1:14" ht="14.25" x14ac:dyDescent="0.25">
      <c r="A144" s="305" t="s">
        <v>32</v>
      </c>
      <c r="B144" s="558"/>
      <c r="C144" s="563" t="s">
        <v>216</v>
      </c>
      <c r="D144" s="563"/>
      <c r="E144" s="563" t="s">
        <v>255</v>
      </c>
      <c r="F144" s="563"/>
      <c r="G144" s="563" t="s">
        <v>286</v>
      </c>
      <c r="H144" s="563"/>
      <c r="I144" s="563" t="s">
        <v>294</v>
      </c>
      <c r="J144" s="563"/>
      <c r="K144" s="21" t="s">
        <v>293</v>
      </c>
      <c r="L144" s="281" t="s">
        <v>285</v>
      </c>
      <c r="M144" s="280" t="s">
        <v>533</v>
      </c>
      <c r="N144" s="564"/>
    </row>
    <row r="145" spans="1:14" x14ac:dyDescent="0.2">
      <c r="A145" s="305"/>
      <c r="B145" s="558"/>
      <c r="C145" s="349" t="s">
        <v>295</v>
      </c>
      <c r="D145" s="490"/>
      <c r="E145" s="349" t="s">
        <v>296</v>
      </c>
      <c r="F145" s="490"/>
      <c r="G145" s="349" t="s">
        <v>297</v>
      </c>
      <c r="H145" s="349"/>
      <c r="I145" s="349" t="s">
        <v>298</v>
      </c>
      <c r="J145" s="490"/>
      <c r="K145" s="349" t="s">
        <v>589</v>
      </c>
      <c r="L145" s="490"/>
      <c r="M145" s="491" t="s">
        <v>292</v>
      </c>
      <c r="N145" s="565"/>
    </row>
    <row r="146" spans="1:14" x14ac:dyDescent="0.2">
      <c r="A146" s="305"/>
      <c r="B146" s="558"/>
      <c r="C146" s="490"/>
      <c r="D146" s="490"/>
      <c r="E146" s="490"/>
      <c r="F146" s="490"/>
      <c r="G146" s="349"/>
      <c r="H146" s="349"/>
      <c r="I146" s="490"/>
      <c r="J146" s="490"/>
      <c r="K146" s="490"/>
      <c r="L146" s="490"/>
      <c r="M146" s="492"/>
      <c r="N146" s="564"/>
    </row>
    <row r="147" spans="1:14" x14ac:dyDescent="0.2">
      <c r="A147" s="559" t="s">
        <v>35</v>
      </c>
      <c r="B147" s="333"/>
      <c r="C147" s="318" t="e">
        <f>+$N$47</f>
        <v>#NUM!</v>
      </c>
      <c r="D147" s="336"/>
      <c r="E147" s="318" t="e">
        <f>+$N$79</f>
        <v>#NUM!</v>
      </c>
      <c r="F147" s="336"/>
      <c r="G147" s="318">
        <f>+$M$126</f>
        <v>0</v>
      </c>
      <c r="H147" s="336"/>
      <c r="I147" s="318" t="e">
        <f>+C147+E147+G147</f>
        <v>#NUM!</v>
      </c>
      <c r="J147" s="336"/>
      <c r="K147" s="97">
        <f>IF('Reference Tables (Segment)'!$B$91="No", (IF($J$24="Posted Speed 30 mph or Lower",VLOOKUP($J$9,'Reference Tables (Segment)'!$A$94:$J$98,3,FALSE),VLOOKUP($J$9,'Reference Tables (Segment)'!$A$94:$J$98,5,FALSE))),(IF($J$24="Posted Speed 30 mph or Lower", VLOOKUP($J$9,'Reference Tables (Segment)'!$A$94:$J$98,7,FALSE),VLOOKUP($J$9,'Reference Tables (Segment)'!$A$94:$J$98,9,FALSE))))</f>
        <v>1.7999999999999999E-2</v>
      </c>
      <c r="L147" s="163">
        <f>+$J$27</f>
        <v>1</v>
      </c>
      <c r="M147" s="554" t="e">
        <f>+$I$147*$K$147*$L$147</f>
        <v>#NUM!</v>
      </c>
      <c r="N147" s="555"/>
    </row>
    <row r="148" spans="1:14" ht="13.5" thickBot="1" x14ac:dyDescent="0.25">
      <c r="A148" s="560" t="s">
        <v>133</v>
      </c>
      <c r="B148" s="311"/>
      <c r="C148" s="561" t="s">
        <v>14</v>
      </c>
      <c r="D148" s="562"/>
      <c r="E148" s="561" t="s">
        <v>14</v>
      </c>
      <c r="F148" s="562"/>
      <c r="G148" s="561" t="s">
        <v>14</v>
      </c>
      <c r="H148" s="562"/>
      <c r="I148" s="561" t="s">
        <v>14</v>
      </c>
      <c r="J148" s="562"/>
      <c r="K148" s="155" t="s">
        <v>14</v>
      </c>
      <c r="L148" s="164">
        <f>+$J$27</f>
        <v>1</v>
      </c>
      <c r="M148" s="556" t="e">
        <f>+$I$147*$K$147*$L$147</f>
        <v>#NUM!</v>
      </c>
      <c r="N148" s="557"/>
    </row>
    <row r="151" spans="1:14" ht="13.5" thickBot="1" x14ac:dyDescent="0.25"/>
    <row r="152" spans="1:14" ht="14.25" thickTop="1" thickBot="1" x14ac:dyDescent="0.25">
      <c r="A152" s="309" t="s">
        <v>301</v>
      </c>
      <c r="B152" s="358"/>
      <c r="C152" s="358"/>
      <c r="D152" s="358"/>
      <c r="E152" s="358"/>
      <c r="F152" s="358"/>
      <c r="G152" s="358"/>
      <c r="H152" s="358"/>
      <c r="I152" s="359"/>
      <c r="J152" s="359"/>
      <c r="K152" s="359"/>
      <c r="L152" s="359"/>
      <c r="M152" s="359"/>
      <c r="N152" s="359"/>
    </row>
    <row r="153" spans="1:14" x14ac:dyDescent="0.2">
      <c r="A153" s="504" t="s">
        <v>16</v>
      </c>
      <c r="B153" s="505"/>
      <c r="C153" s="505"/>
      <c r="D153" s="505"/>
      <c r="E153" s="505"/>
      <c r="F153" s="566" t="s">
        <v>17</v>
      </c>
      <c r="G153" s="566"/>
      <c r="H153" s="566"/>
      <c r="I153" s="566" t="s">
        <v>18</v>
      </c>
      <c r="J153" s="566"/>
      <c r="K153" s="566"/>
      <c r="L153" s="566" t="s">
        <v>19</v>
      </c>
      <c r="M153" s="566"/>
      <c r="N153" s="567"/>
    </row>
    <row r="154" spans="1:14" x14ac:dyDescent="0.2">
      <c r="A154" s="594" t="s">
        <v>51</v>
      </c>
      <c r="B154" s="595"/>
      <c r="C154" s="595"/>
      <c r="D154" s="595"/>
      <c r="E154" s="595"/>
      <c r="F154" s="575" t="s">
        <v>133</v>
      </c>
      <c r="G154" s="575"/>
      <c r="H154" s="575"/>
      <c r="I154" s="575" t="s">
        <v>134</v>
      </c>
      <c r="J154" s="575"/>
      <c r="K154" s="575"/>
      <c r="L154" s="575" t="s">
        <v>35</v>
      </c>
      <c r="M154" s="575"/>
      <c r="N154" s="581"/>
    </row>
    <row r="155" spans="1:14" x14ac:dyDescent="0.2">
      <c r="A155" s="596"/>
      <c r="B155" s="597"/>
      <c r="C155" s="597"/>
      <c r="D155" s="597"/>
      <c r="E155" s="597"/>
      <c r="F155" s="569" t="s">
        <v>302</v>
      </c>
      <c r="G155" s="569"/>
      <c r="H155" s="569"/>
      <c r="I155" s="569" t="s">
        <v>304</v>
      </c>
      <c r="J155" s="569"/>
      <c r="K155" s="569"/>
      <c r="L155" s="569" t="s">
        <v>306</v>
      </c>
      <c r="M155" s="569"/>
      <c r="N155" s="572"/>
    </row>
    <row r="156" spans="1:14" x14ac:dyDescent="0.2">
      <c r="A156" s="596"/>
      <c r="B156" s="597"/>
      <c r="C156" s="597"/>
      <c r="D156" s="597"/>
      <c r="E156" s="597"/>
      <c r="F156" s="573" t="s">
        <v>305</v>
      </c>
      <c r="G156" s="573"/>
      <c r="H156" s="573"/>
      <c r="I156" s="570" t="s">
        <v>297</v>
      </c>
      <c r="J156" s="570"/>
      <c r="K156" s="570"/>
      <c r="L156" s="573" t="s">
        <v>305</v>
      </c>
      <c r="M156" s="573"/>
      <c r="N156" s="574"/>
    </row>
    <row r="157" spans="1:14" x14ac:dyDescent="0.2">
      <c r="A157" s="598"/>
      <c r="B157" s="599"/>
      <c r="C157" s="599"/>
      <c r="D157" s="599"/>
      <c r="E157" s="599"/>
      <c r="F157" s="568" t="s">
        <v>303</v>
      </c>
      <c r="G157" s="568"/>
      <c r="H157" s="568"/>
      <c r="I157" s="571"/>
      <c r="J157" s="571"/>
      <c r="K157" s="571"/>
      <c r="L157" s="568" t="s">
        <v>303</v>
      </c>
      <c r="M157" s="568"/>
      <c r="N157" s="584"/>
    </row>
    <row r="158" spans="1:14" x14ac:dyDescent="0.2">
      <c r="A158" s="582" t="s">
        <v>307</v>
      </c>
      <c r="B158" s="563"/>
      <c r="C158" s="563"/>
      <c r="D158" s="563"/>
      <c r="E158" s="563"/>
      <c r="F158" s="563"/>
      <c r="G158" s="563"/>
      <c r="H158" s="563"/>
      <c r="I158" s="563"/>
      <c r="J158" s="563"/>
      <c r="K158" s="563"/>
      <c r="L158" s="563"/>
      <c r="M158" s="563"/>
      <c r="N158" s="583"/>
    </row>
    <row r="159" spans="1:14" x14ac:dyDescent="0.2">
      <c r="A159" s="284" t="s">
        <v>309</v>
      </c>
      <c r="B159" s="576"/>
      <c r="C159" s="576"/>
      <c r="D159" s="576"/>
      <c r="E159" s="576"/>
      <c r="F159" s="524" t="e">
        <f>+F64</f>
        <v>#NUM!</v>
      </c>
      <c r="G159" s="315"/>
      <c r="H159" s="315"/>
      <c r="I159" s="524" t="e">
        <f>+J64</f>
        <v>#NUM!</v>
      </c>
      <c r="J159" s="315"/>
      <c r="K159" s="315"/>
      <c r="L159" s="524" t="e">
        <f>+L64</f>
        <v>#NUM!</v>
      </c>
      <c r="M159" s="315"/>
      <c r="N159" s="338"/>
    </row>
    <row r="160" spans="1:14" x14ac:dyDescent="0.2">
      <c r="A160" s="284" t="s">
        <v>310</v>
      </c>
      <c r="B160" s="576"/>
      <c r="C160" s="576"/>
      <c r="D160" s="576"/>
      <c r="E160" s="576"/>
      <c r="F160" s="524" t="e">
        <f>+F65</f>
        <v>#NUM!</v>
      </c>
      <c r="G160" s="315"/>
      <c r="H160" s="315"/>
      <c r="I160" s="524" t="e">
        <f>+J65</f>
        <v>#NUM!</v>
      </c>
      <c r="J160" s="315"/>
      <c r="K160" s="315"/>
      <c r="L160" s="524" t="e">
        <f>+L65</f>
        <v>#NUM!</v>
      </c>
      <c r="M160" s="315"/>
      <c r="N160" s="338"/>
    </row>
    <row r="161" spans="1:14" x14ac:dyDescent="0.2">
      <c r="A161" s="284" t="s">
        <v>311</v>
      </c>
      <c r="B161" s="576"/>
      <c r="C161" s="576"/>
      <c r="D161" s="576"/>
      <c r="E161" s="576"/>
      <c r="F161" s="524" t="e">
        <f>+F66</f>
        <v>#NUM!</v>
      </c>
      <c r="G161" s="315"/>
      <c r="H161" s="315"/>
      <c r="I161" s="524" t="e">
        <f>+J66</f>
        <v>#NUM!</v>
      </c>
      <c r="J161" s="315"/>
      <c r="K161" s="315"/>
      <c r="L161" s="524" t="e">
        <f>+L66</f>
        <v>#NUM!</v>
      </c>
      <c r="M161" s="315"/>
      <c r="N161" s="338"/>
    </row>
    <row r="162" spans="1:14" x14ac:dyDescent="0.2">
      <c r="A162" s="577" t="s">
        <v>312</v>
      </c>
      <c r="B162" s="578"/>
      <c r="C162" s="578"/>
      <c r="D162" s="578"/>
      <c r="E162" s="578"/>
      <c r="F162" s="524" t="e">
        <f>+F67</f>
        <v>#NUM!</v>
      </c>
      <c r="G162" s="315"/>
      <c r="H162" s="315"/>
      <c r="I162" s="524" t="e">
        <f>+J67</f>
        <v>#NUM!</v>
      </c>
      <c r="J162" s="315"/>
      <c r="K162" s="315"/>
      <c r="L162" s="524" t="e">
        <f>+L67</f>
        <v>#NUM!</v>
      </c>
      <c r="M162" s="315"/>
      <c r="N162" s="338"/>
    </row>
    <row r="163" spans="1:14" x14ac:dyDescent="0.2">
      <c r="A163" s="577" t="s">
        <v>313</v>
      </c>
      <c r="B163" s="578"/>
      <c r="C163" s="578"/>
      <c r="D163" s="578"/>
      <c r="E163" s="578"/>
      <c r="F163" s="524" t="e">
        <f>+F68</f>
        <v>#NUM!</v>
      </c>
      <c r="G163" s="315"/>
      <c r="H163" s="315"/>
      <c r="I163" s="524" t="e">
        <f>+J68</f>
        <v>#NUM!</v>
      </c>
      <c r="J163" s="315"/>
      <c r="K163" s="315"/>
      <c r="L163" s="524" t="e">
        <f>+L68</f>
        <v>#NUM!</v>
      </c>
      <c r="M163" s="315"/>
      <c r="N163" s="338"/>
    </row>
    <row r="164" spans="1:14" x14ac:dyDescent="0.2">
      <c r="A164" s="577" t="s">
        <v>314</v>
      </c>
      <c r="B164" s="578"/>
      <c r="C164" s="578"/>
      <c r="D164" s="578"/>
      <c r="E164" s="578"/>
      <c r="F164" s="524">
        <f>+M127</f>
        <v>0</v>
      </c>
      <c r="G164" s="315"/>
      <c r="H164" s="315"/>
      <c r="I164" s="524">
        <f>+M128</f>
        <v>0</v>
      </c>
      <c r="J164" s="315"/>
      <c r="K164" s="315"/>
      <c r="L164" s="524">
        <f>+M126</f>
        <v>0</v>
      </c>
      <c r="M164" s="315"/>
      <c r="N164" s="338"/>
    </row>
    <row r="165" spans="1:14" x14ac:dyDescent="0.2">
      <c r="A165" s="577" t="s">
        <v>315</v>
      </c>
      <c r="B165" s="578"/>
      <c r="C165" s="578"/>
      <c r="D165" s="578"/>
      <c r="E165" s="578"/>
      <c r="F165" s="524" t="e">
        <f>+F69</f>
        <v>#NUM!</v>
      </c>
      <c r="G165" s="315"/>
      <c r="H165" s="315"/>
      <c r="I165" s="524" t="e">
        <f>+J69</f>
        <v>#NUM!</v>
      </c>
      <c r="J165" s="315"/>
      <c r="K165" s="315"/>
      <c r="L165" s="524" t="e">
        <f>+L69</f>
        <v>#NUM!</v>
      </c>
      <c r="M165" s="315"/>
      <c r="N165" s="338"/>
    </row>
    <row r="166" spans="1:14" ht="13.5" thickBot="1" x14ac:dyDescent="0.25">
      <c r="A166" s="579" t="s">
        <v>316</v>
      </c>
      <c r="B166" s="580"/>
      <c r="C166" s="580"/>
      <c r="D166" s="580"/>
      <c r="E166" s="580"/>
      <c r="F166" s="585" t="e">
        <f>SUM(F159:H165)</f>
        <v>#NUM!</v>
      </c>
      <c r="G166" s="586"/>
      <c r="H166" s="586"/>
      <c r="I166" s="585" t="e">
        <f>SUM(I159:K165)</f>
        <v>#NUM!</v>
      </c>
      <c r="J166" s="586"/>
      <c r="K166" s="586"/>
      <c r="L166" s="585" t="e">
        <f>SUM(L159:N165)</f>
        <v>#NUM!</v>
      </c>
      <c r="M166" s="586"/>
      <c r="N166" s="587"/>
    </row>
    <row r="167" spans="1:14" x14ac:dyDescent="0.2">
      <c r="A167" s="591" t="s">
        <v>308</v>
      </c>
      <c r="B167" s="592"/>
      <c r="C167" s="592"/>
      <c r="D167" s="592"/>
      <c r="E167" s="592"/>
      <c r="F167" s="592"/>
      <c r="G167" s="592"/>
      <c r="H167" s="592"/>
      <c r="I167" s="592"/>
      <c r="J167" s="592"/>
      <c r="K167" s="592"/>
      <c r="L167" s="592"/>
      <c r="M167" s="592"/>
      <c r="N167" s="593"/>
    </row>
    <row r="168" spans="1:14" x14ac:dyDescent="0.2">
      <c r="A168" s="577" t="s">
        <v>317</v>
      </c>
      <c r="B168" s="578"/>
      <c r="C168" s="578"/>
      <c r="D168" s="578"/>
      <c r="E168" s="578"/>
      <c r="F168" s="524" t="e">
        <f>+F96</f>
        <v>#NUM!</v>
      </c>
      <c r="G168" s="315"/>
      <c r="H168" s="315"/>
      <c r="I168" s="524" t="e">
        <f>+J96</f>
        <v>#NUM!</v>
      </c>
      <c r="J168" s="315"/>
      <c r="K168" s="315"/>
      <c r="L168" s="524" t="e">
        <f>+L96</f>
        <v>#NUM!</v>
      </c>
      <c r="M168" s="315"/>
      <c r="N168" s="338"/>
    </row>
    <row r="169" spans="1:14" x14ac:dyDescent="0.2">
      <c r="A169" s="577" t="s">
        <v>318</v>
      </c>
      <c r="B169" s="578"/>
      <c r="C169" s="578"/>
      <c r="D169" s="578"/>
      <c r="E169" s="578"/>
      <c r="F169" s="524" t="e">
        <f>+F97</f>
        <v>#NUM!</v>
      </c>
      <c r="G169" s="315"/>
      <c r="H169" s="315"/>
      <c r="I169" s="524" t="e">
        <f>+J97</f>
        <v>#NUM!</v>
      </c>
      <c r="J169" s="315"/>
      <c r="K169" s="315"/>
      <c r="L169" s="524" t="e">
        <f>+L97</f>
        <v>#NUM!</v>
      </c>
      <c r="M169" s="315"/>
      <c r="N169" s="338"/>
    </row>
    <row r="170" spans="1:14" x14ac:dyDescent="0.2">
      <c r="A170" s="577" t="s">
        <v>319</v>
      </c>
      <c r="B170" s="578"/>
      <c r="C170" s="578"/>
      <c r="D170" s="578"/>
      <c r="E170" s="578"/>
      <c r="F170" s="524" t="e">
        <f>+F98</f>
        <v>#NUM!</v>
      </c>
      <c r="G170" s="315"/>
      <c r="H170" s="315"/>
      <c r="I170" s="524" t="e">
        <f>+J98</f>
        <v>#NUM!</v>
      </c>
      <c r="J170" s="315"/>
      <c r="K170" s="315"/>
      <c r="L170" s="524" t="e">
        <f>+L98</f>
        <v>#NUM!</v>
      </c>
      <c r="M170" s="315"/>
      <c r="N170" s="338"/>
    </row>
    <row r="171" spans="1:14" x14ac:dyDescent="0.2">
      <c r="A171" s="577" t="s">
        <v>320</v>
      </c>
      <c r="B171" s="578"/>
      <c r="C171" s="578"/>
      <c r="D171" s="578"/>
      <c r="E171" s="578"/>
      <c r="F171" s="524" t="e">
        <f>+F99</f>
        <v>#NUM!</v>
      </c>
      <c r="G171" s="315"/>
      <c r="H171" s="315"/>
      <c r="I171" s="524" t="e">
        <f>+J99</f>
        <v>#NUM!</v>
      </c>
      <c r="J171" s="315"/>
      <c r="K171" s="315"/>
      <c r="L171" s="524" t="e">
        <f>+L99</f>
        <v>#NUM!</v>
      </c>
      <c r="M171" s="315"/>
      <c r="N171" s="338"/>
    </row>
    <row r="172" spans="1:14" x14ac:dyDescent="0.2">
      <c r="A172" s="577" t="s">
        <v>321</v>
      </c>
      <c r="B172" s="578"/>
      <c r="C172" s="578"/>
      <c r="D172" s="578"/>
      <c r="E172" s="578"/>
      <c r="F172" s="524" t="e">
        <f>+M138</f>
        <v>#NUM!</v>
      </c>
      <c r="G172" s="315"/>
      <c r="H172" s="315"/>
      <c r="I172" s="524">
        <v>0</v>
      </c>
      <c r="J172" s="524"/>
      <c r="K172" s="524"/>
      <c r="L172" s="524" t="e">
        <f>+M137</f>
        <v>#NUM!</v>
      </c>
      <c r="M172" s="315"/>
      <c r="N172" s="338"/>
    </row>
    <row r="173" spans="1:14" x14ac:dyDescent="0.2">
      <c r="A173" s="577" t="s">
        <v>322</v>
      </c>
      <c r="B173" s="578"/>
      <c r="C173" s="578"/>
      <c r="D173" s="578"/>
      <c r="E173" s="578"/>
      <c r="F173" s="524" t="e">
        <f>+M148</f>
        <v>#NUM!</v>
      </c>
      <c r="G173" s="315"/>
      <c r="H173" s="315"/>
      <c r="I173" s="524">
        <v>0</v>
      </c>
      <c r="J173" s="524"/>
      <c r="K173" s="524"/>
      <c r="L173" s="524" t="e">
        <f>+M147</f>
        <v>#NUM!</v>
      </c>
      <c r="M173" s="315"/>
      <c r="N173" s="338"/>
    </row>
    <row r="174" spans="1:14" ht="13.5" thickBot="1" x14ac:dyDescent="0.25">
      <c r="A174" s="579" t="s">
        <v>316</v>
      </c>
      <c r="B174" s="580"/>
      <c r="C174" s="580"/>
      <c r="D174" s="580"/>
      <c r="E174" s="580"/>
      <c r="F174" s="585" t="e">
        <f>SUM(F168:H173)</f>
        <v>#NUM!</v>
      </c>
      <c r="G174" s="586"/>
      <c r="H174" s="586"/>
      <c r="I174" s="585" t="e">
        <f>SUM(I168:K173)</f>
        <v>#NUM!</v>
      </c>
      <c r="J174" s="586"/>
      <c r="K174" s="586"/>
      <c r="L174" s="585" t="e">
        <f>SUM(L168:N173)</f>
        <v>#NUM!</v>
      </c>
      <c r="M174" s="586"/>
      <c r="N174" s="587"/>
    </row>
    <row r="175" spans="1:14" ht="13.5" thickBot="1" x14ac:dyDescent="0.25">
      <c r="A175" s="600" t="s">
        <v>35</v>
      </c>
      <c r="B175" s="601"/>
      <c r="C175" s="601"/>
      <c r="D175" s="601"/>
      <c r="E175" s="601"/>
      <c r="F175" s="588" t="e">
        <f>+F166+F174</f>
        <v>#NUM!</v>
      </c>
      <c r="G175" s="589"/>
      <c r="H175" s="589"/>
      <c r="I175" s="588" t="e">
        <f>+I166+I174</f>
        <v>#NUM!</v>
      </c>
      <c r="J175" s="589"/>
      <c r="K175" s="589"/>
      <c r="L175" s="588" t="e">
        <f>+L166+L174</f>
        <v>#NUM!</v>
      </c>
      <c r="M175" s="589"/>
      <c r="N175" s="590"/>
    </row>
    <row r="177" spans="2:14" x14ac:dyDescent="0.2">
      <c r="N177" s="22"/>
    </row>
    <row r="178" spans="2:14" ht="13.5" thickBot="1" x14ac:dyDescent="0.25">
      <c r="N178" s="22"/>
    </row>
    <row r="179" spans="2:14" ht="14.25" thickTop="1" thickBot="1" x14ac:dyDescent="0.25">
      <c r="B179" s="309" t="s">
        <v>323</v>
      </c>
      <c r="C179" s="309"/>
      <c r="D179" s="309"/>
      <c r="E179" s="309"/>
      <c r="F179" s="309"/>
      <c r="G179" s="309"/>
      <c r="H179" s="309"/>
      <c r="I179" s="309"/>
      <c r="J179" s="309"/>
      <c r="K179" s="309"/>
      <c r="L179" s="309"/>
      <c r="M179" s="309"/>
      <c r="N179" s="24"/>
    </row>
    <row r="180" spans="2:14" x14ac:dyDescent="0.2">
      <c r="B180" s="322" t="s">
        <v>16</v>
      </c>
      <c r="C180" s="323"/>
      <c r="D180" s="323"/>
      <c r="E180" s="308" t="s">
        <v>17</v>
      </c>
      <c r="F180" s="308"/>
      <c r="G180" s="308"/>
      <c r="H180" s="278" t="s">
        <v>18</v>
      </c>
      <c r="I180" s="278"/>
      <c r="J180" s="278"/>
      <c r="K180" s="278" t="s">
        <v>19</v>
      </c>
      <c r="L180" s="278"/>
      <c r="M180" s="279"/>
      <c r="N180" s="22"/>
    </row>
    <row r="181" spans="2:14" ht="15.75" customHeight="1" x14ac:dyDescent="0.2">
      <c r="B181" s="305" t="s">
        <v>32</v>
      </c>
      <c r="C181" s="306"/>
      <c r="D181" s="306"/>
      <c r="E181" s="280" t="s">
        <v>324</v>
      </c>
      <c r="F181" s="280"/>
      <c r="G181" s="280"/>
      <c r="H181" s="281" t="s">
        <v>325</v>
      </c>
      <c r="I181" s="281"/>
      <c r="J181" s="281"/>
      <c r="K181" s="291" t="s">
        <v>326</v>
      </c>
      <c r="L181" s="292"/>
      <c r="M181" s="292"/>
      <c r="N181" s="22"/>
    </row>
    <row r="182" spans="2:14" x14ac:dyDescent="0.2">
      <c r="B182" s="307"/>
      <c r="C182" s="306"/>
      <c r="D182" s="306"/>
      <c r="E182" s="280"/>
      <c r="F182" s="280"/>
      <c r="G182" s="280"/>
      <c r="H182" s="281"/>
      <c r="I182" s="281"/>
      <c r="J182" s="281"/>
      <c r="K182" s="293"/>
      <c r="L182" s="294"/>
      <c r="M182" s="294"/>
    </row>
    <row r="183" spans="2:14" x14ac:dyDescent="0.2">
      <c r="B183" s="307"/>
      <c r="C183" s="306"/>
      <c r="D183" s="306"/>
      <c r="E183" s="280"/>
      <c r="F183" s="280"/>
      <c r="G183" s="280"/>
      <c r="H183" s="281"/>
      <c r="I183" s="281"/>
      <c r="J183" s="281"/>
      <c r="K183" s="295"/>
      <c r="L183" s="296"/>
      <c r="M183" s="296"/>
    </row>
    <row r="184" spans="2:14" x14ac:dyDescent="0.2">
      <c r="B184" s="307"/>
      <c r="C184" s="306"/>
      <c r="D184" s="306"/>
      <c r="E184" s="282" t="s">
        <v>327</v>
      </c>
      <c r="F184" s="283"/>
      <c r="G184" s="283"/>
      <c r="H184" s="281"/>
      <c r="I184" s="281"/>
      <c r="J184" s="281"/>
      <c r="K184" s="297" t="s">
        <v>328</v>
      </c>
      <c r="L184" s="298"/>
      <c r="M184" s="298"/>
    </row>
    <row r="185" spans="2:14" x14ac:dyDescent="0.2">
      <c r="B185" s="284" t="s">
        <v>35</v>
      </c>
      <c r="C185" s="285"/>
      <c r="D185" s="285"/>
      <c r="E185" s="289" t="e">
        <f>+L175</f>
        <v>#NUM!</v>
      </c>
      <c r="F185" s="289"/>
      <c r="G185" s="289"/>
      <c r="H185" s="286">
        <f>+$J$10</f>
        <v>1</v>
      </c>
      <c r="I185" s="286"/>
      <c r="J185" s="286"/>
      <c r="K185" s="303" t="e">
        <f>+E185/H185</f>
        <v>#NUM!</v>
      </c>
      <c r="L185" s="303"/>
      <c r="M185" s="304"/>
    </row>
    <row r="186" spans="2:14" x14ac:dyDescent="0.2">
      <c r="B186" s="284" t="s">
        <v>133</v>
      </c>
      <c r="C186" s="285"/>
      <c r="D186" s="285"/>
      <c r="E186" s="289" t="e">
        <f>+F175</f>
        <v>#NUM!</v>
      </c>
      <c r="F186" s="289"/>
      <c r="G186" s="289"/>
      <c r="H186" s="286">
        <f>+$J$10</f>
        <v>1</v>
      </c>
      <c r="I186" s="286"/>
      <c r="J186" s="286"/>
      <c r="K186" s="303" t="e">
        <f>+E186/H186</f>
        <v>#NUM!</v>
      </c>
      <c r="L186" s="303"/>
      <c r="M186" s="304"/>
    </row>
    <row r="187" spans="2:14" ht="13.5" thickBot="1" x14ac:dyDescent="0.25">
      <c r="B187" s="287" t="s">
        <v>134</v>
      </c>
      <c r="C187" s="288"/>
      <c r="D187" s="288"/>
      <c r="E187" s="290" t="e">
        <f>+I175</f>
        <v>#NUM!</v>
      </c>
      <c r="F187" s="290"/>
      <c r="G187" s="290"/>
      <c r="H187" s="299">
        <f>+$J$10</f>
        <v>1</v>
      </c>
      <c r="I187" s="299"/>
      <c r="J187" s="299"/>
      <c r="K187" s="276" t="e">
        <f>+E187/H187</f>
        <v>#NUM!</v>
      </c>
      <c r="L187" s="276"/>
      <c r="M187" s="277"/>
    </row>
  </sheetData>
  <mergeCells count="592">
    <mergeCell ref="I161:K161"/>
    <mergeCell ref="I162:K162"/>
    <mergeCell ref="I163:K163"/>
    <mergeCell ref="F164:H164"/>
    <mergeCell ref="F173:H173"/>
    <mergeCell ref="F166:H166"/>
    <mergeCell ref="A152:N152"/>
    <mergeCell ref="F153:H153"/>
    <mergeCell ref="F175:H175"/>
    <mergeCell ref="I168:K168"/>
    <mergeCell ref="I169:K169"/>
    <mergeCell ref="I170:K170"/>
    <mergeCell ref="I171:K171"/>
    <mergeCell ref="I172:K172"/>
    <mergeCell ref="I174:K174"/>
    <mergeCell ref="I175:K175"/>
    <mergeCell ref="A154:E157"/>
    <mergeCell ref="F168:H168"/>
    <mergeCell ref="F169:H169"/>
    <mergeCell ref="A174:E174"/>
    <mergeCell ref="A175:E175"/>
    <mergeCell ref="F159:H159"/>
    <mergeCell ref="L161:N161"/>
    <mergeCell ref="L162:N162"/>
    <mergeCell ref="L163:N163"/>
    <mergeCell ref="L164:N164"/>
    <mergeCell ref="L165:N165"/>
    <mergeCell ref="F174:H174"/>
    <mergeCell ref="L174:N174"/>
    <mergeCell ref="L175:N175"/>
    <mergeCell ref="L172:N172"/>
    <mergeCell ref="A168:E168"/>
    <mergeCell ref="A169:E169"/>
    <mergeCell ref="A170:E170"/>
    <mergeCell ref="A171:E171"/>
    <mergeCell ref="I166:K166"/>
    <mergeCell ref="A173:E173"/>
    <mergeCell ref="A172:E172"/>
    <mergeCell ref="F172:H172"/>
    <mergeCell ref="A167:N167"/>
    <mergeCell ref="I173:K173"/>
    <mergeCell ref="F170:H170"/>
    <mergeCell ref="F171:H171"/>
    <mergeCell ref="L173:N173"/>
    <mergeCell ref="L168:N168"/>
    <mergeCell ref="L169:N169"/>
    <mergeCell ref="L170:N170"/>
    <mergeCell ref="L171:N171"/>
    <mergeCell ref="L166:N166"/>
    <mergeCell ref="A161:E161"/>
    <mergeCell ref="A162:E162"/>
    <mergeCell ref="A163:E163"/>
    <mergeCell ref="A164:E164"/>
    <mergeCell ref="A165:E165"/>
    <mergeCell ref="A166:E166"/>
    <mergeCell ref="L154:N154"/>
    <mergeCell ref="A158:N158"/>
    <mergeCell ref="A159:E159"/>
    <mergeCell ref="A160:E160"/>
    <mergeCell ref="L159:N159"/>
    <mergeCell ref="L160:N160"/>
    <mergeCell ref="F155:H155"/>
    <mergeCell ref="F156:H156"/>
    <mergeCell ref="I159:K159"/>
    <mergeCell ref="I160:K160"/>
    <mergeCell ref="F165:H165"/>
    <mergeCell ref="L157:N157"/>
    <mergeCell ref="I164:K164"/>
    <mergeCell ref="I165:K165"/>
    <mergeCell ref="F160:H160"/>
    <mergeCell ref="F161:H161"/>
    <mergeCell ref="F162:H162"/>
    <mergeCell ref="F163:H163"/>
    <mergeCell ref="I153:K153"/>
    <mergeCell ref="L153:N153"/>
    <mergeCell ref="A153:E153"/>
    <mergeCell ref="F157:H157"/>
    <mergeCell ref="I155:K155"/>
    <mergeCell ref="I156:K157"/>
    <mergeCell ref="L155:N155"/>
    <mergeCell ref="L156:N156"/>
    <mergeCell ref="F154:H154"/>
    <mergeCell ref="I154:K154"/>
    <mergeCell ref="A148:B148"/>
    <mergeCell ref="C148:D148"/>
    <mergeCell ref="E148:F148"/>
    <mergeCell ref="G148:H148"/>
    <mergeCell ref="I148:J148"/>
    <mergeCell ref="M148:N148"/>
    <mergeCell ref="A147:B147"/>
    <mergeCell ref="C147:D147"/>
    <mergeCell ref="E147:F147"/>
    <mergeCell ref="G147:H147"/>
    <mergeCell ref="I147:J147"/>
    <mergeCell ref="M147:N147"/>
    <mergeCell ref="M144:N144"/>
    <mergeCell ref="C145:D146"/>
    <mergeCell ref="E145:F146"/>
    <mergeCell ref="G145:H146"/>
    <mergeCell ref="I145:J146"/>
    <mergeCell ref="K145:K146"/>
    <mergeCell ref="M145:N146"/>
    <mergeCell ref="A144:B146"/>
    <mergeCell ref="C144:D144"/>
    <mergeCell ref="E144:F144"/>
    <mergeCell ref="G144:H144"/>
    <mergeCell ref="I144:J144"/>
    <mergeCell ref="L144:L146"/>
    <mergeCell ref="A142:N142"/>
    <mergeCell ref="A143:B143"/>
    <mergeCell ref="C143:D143"/>
    <mergeCell ref="E143:F143"/>
    <mergeCell ref="G143:H143"/>
    <mergeCell ref="I143:J143"/>
    <mergeCell ref="M143:N143"/>
    <mergeCell ref="G137:H137"/>
    <mergeCell ref="G138:H138"/>
    <mergeCell ref="I137:J137"/>
    <mergeCell ref="I138:J138"/>
    <mergeCell ref="C135:D136"/>
    <mergeCell ref="M137:N137"/>
    <mergeCell ref="M138:N138"/>
    <mergeCell ref="E137:F137"/>
    <mergeCell ref="A134:B136"/>
    <mergeCell ref="A137:B137"/>
    <mergeCell ref="A138:B138"/>
    <mergeCell ref="C137:D137"/>
    <mergeCell ref="C138:D138"/>
    <mergeCell ref="E134:F134"/>
    <mergeCell ref="E135:F136"/>
    <mergeCell ref="C134:D134"/>
    <mergeCell ref="E138:F138"/>
    <mergeCell ref="G134:H134"/>
    <mergeCell ref="I134:J134"/>
    <mergeCell ref="M134:N134"/>
    <mergeCell ref="K135:K136"/>
    <mergeCell ref="L134:L136"/>
    <mergeCell ref="M135:N136"/>
    <mergeCell ref="I135:J136"/>
    <mergeCell ref="G135:H136"/>
    <mergeCell ref="A132:N132"/>
    <mergeCell ref="A133:B133"/>
    <mergeCell ref="M133:N133"/>
    <mergeCell ref="C133:D133"/>
    <mergeCell ref="E133:F133"/>
    <mergeCell ref="G133:H133"/>
    <mergeCell ref="I133:J133"/>
    <mergeCell ref="F127:G127"/>
    <mergeCell ref="F128:G128"/>
    <mergeCell ref="I127:J127"/>
    <mergeCell ref="I128:J128"/>
    <mergeCell ref="K127:L127"/>
    <mergeCell ref="K128:L128"/>
    <mergeCell ref="A127:C127"/>
    <mergeCell ref="A128:C128"/>
    <mergeCell ref="D126:E126"/>
    <mergeCell ref="D127:E127"/>
    <mergeCell ref="D128:E128"/>
    <mergeCell ref="D124:E125"/>
    <mergeCell ref="M127:N127"/>
    <mergeCell ref="M128:N128"/>
    <mergeCell ref="A126:C126"/>
    <mergeCell ref="A122:C125"/>
    <mergeCell ref="D122:E123"/>
    <mergeCell ref="F126:G126"/>
    <mergeCell ref="M126:N126"/>
    <mergeCell ref="F124:G125"/>
    <mergeCell ref="H124:H125"/>
    <mergeCell ref="I124:J125"/>
    <mergeCell ref="K122:L125"/>
    <mergeCell ref="M124:N125"/>
    <mergeCell ref="F122:G123"/>
    <mergeCell ref="H122:H123"/>
    <mergeCell ref="I122:J123"/>
    <mergeCell ref="M122:N123"/>
    <mergeCell ref="I126:J126"/>
    <mergeCell ref="K126:L126"/>
    <mergeCell ref="M121:N121"/>
    <mergeCell ref="J115:L115"/>
    <mergeCell ref="J116:L116"/>
    <mergeCell ref="M116:N116"/>
    <mergeCell ref="M109:N115"/>
    <mergeCell ref="J109:L109"/>
    <mergeCell ref="J113:L113"/>
    <mergeCell ref="J114:L114"/>
    <mergeCell ref="H109:I109"/>
    <mergeCell ref="H110:I110"/>
    <mergeCell ref="H111:I111"/>
    <mergeCell ref="H112:I112"/>
    <mergeCell ref="H113:I113"/>
    <mergeCell ref="H114:I114"/>
    <mergeCell ref="J110:L110"/>
    <mergeCell ref="J111:L111"/>
    <mergeCell ref="J112:L112"/>
    <mergeCell ref="A120:N120"/>
    <mergeCell ref="A121:C121"/>
    <mergeCell ref="D121:E121"/>
    <mergeCell ref="F121:G121"/>
    <mergeCell ref="D69:E69"/>
    <mergeCell ref="L60:N61"/>
    <mergeCell ref="H63:I63"/>
    <mergeCell ref="H64:I64"/>
    <mergeCell ref="G77:H78"/>
    <mergeCell ref="K77:K78"/>
    <mergeCell ref="A73:N73"/>
    <mergeCell ref="A74:B74"/>
    <mergeCell ref="C74:D74"/>
    <mergeCell ref="E74:F74"/>
    <mergeCell ref="G74:H74"/>
    <mergeCell ref="I74:J74"/>
    <mergeCell ref="L77:L78"/>
    <mergeCell ref="N77:N78"/>
    <mergeCell ref="F69:G69"/>
    <mergeCell ref="I75:J78"/>
    <mergeCell ref="K75:K76"/>
    <mergeCell ref="C77:D77"/>
    <mergeCell ref="E77:F78"/>
    <mergeCell ref="D63:E63"/>
    <mergeCell ref="F63:G63"/>
    <mergeCell ref="J63:K63"/>
    <mergeCell ref="L63:N63"/>
    <mergeCell ref="A67:C67"/>
    <mergeCell ref="D67:E67"/>
    <mergeCell ref="M107:N108"/>
    <mergeCell ref="L64:N64"/>
    <mergeCell ref="L69:N69"/>
    <mergeCell ref="H69:I69"/>
    <mergeCell ref="J64:K64"/>
    <mergeCell ref="J65:K65"/>
    <mergeCell ref="J66:K66"/>
    <mergeCell ref="J67:K67"/>
    <mergeCell ref="E79:F79"/>
    <mergeCell ref="F105:G106"/>
    <mergeCell ref="H104:I104"/>
    <mergeCell ref="J104:L104"/>
    <mergeCell ref="M104:N104"/>
    <mergeCell ref="H105:I106"/>
    <mergeCell ref="J105:L106"/>
    <mergeCell ref="M105:N106"/>
    <mergeCell ref="D104:E104"/>
    <mergeCell ref="F104:G104"/>
    <mergeCell ref="F107:G108"/>
    <mergeCell ref="D105:E108"/>
    <mergeCell ref="J107:L107"/>
    <mergeCell ref="D64:E64"/>
    <mergeCell ref="D68:E68"/>
    <mergeCell ref="L62:N62"/>
    <mergeCell ref="F64:G64"/>
    <mergeCell ref="A105:C108"/>
    <mergeCell ref="A109:C109"/>
    <mergeCell ref="L65:N65"/>
    <mergeCell ref="L66:N66"/>
    <mergeCell ref="L67:N67"/>
    <mergeCell ref="L68:N68"/>
    <mergeCell ref="A103:N103"/>
    <mergeCell ref="A104:C104"/>
    <mergeCell ref="J68:K68"/>
    <mergeCell ref="J69:K69"/>
    <mergeCell ref="H65:I65"/>
    <mergeCell ref="H66:I66"/>
    <mergeCell ref="H67:I67"/>
    <mergeCell ref="H68:I68"/>
    <mergeCell ref="F65:G65"/>
    <mergeCell ref="F66:G66"/>
    <mergeCell ref="F67:G67"/>
    <mergeCell ref="F68:G68"/>
    <mergeCell ref="A68:C68"/>
    <mergeCell ref="A69:C69"/>
    <mergeCell ref="D65:E65"/>
    <mergeCell ref="D66:E66"/>
    <mergeCell ref="J56:K56"/>
    <mergeCell ref="A65:C65"/>
    <mergeCell ref="A63:C63"/>
    <mergeCell ref="A66:C66"/>
    <mergeCell ref="D62:E62"/>
    <mergeCell ref="H62:I62"/>
    <mergeCell ref="A62:C62"/>
    <mergeCell ref="F62:G62"/>
    <mergeCell ref="J62:K62"/>
    <mergeCell ref="A64:C64"/>
    <mergeCell ref="G47:H47"/>
    <mergeCell ref="D57:E59"/>
    <mergeCell ref="D60:E61"/>
    <mergeCell ref="D56:E56"/>
    <mergeCell ref="H56:I56"/>
    <mergeCell ref="L56:N56"/>
    <mergeCell ref="L57:N59"/>
    <mergeCell ref="I50:J50"/>
    <mergeCell ref="G50:H51"/>
    <mergeCell ref="K50:K51"/>
    <mergeCell ref="L50:L51"/>
    <mergeCell ref="A55:N55"/>
    <mergeCell ref="F56:G56"/>
    <mergeCell ref="M50:M51"/>
    <mergeCell ref="A50:B51"/>
    <mergeCell ref="I51:J51"/>
    <mergeCell ref="A56:C56"/>
    <mergeCell ref="A57:C61"/>
    <mergeCell ref="H57:I59"/>
    <mergeCell ref="J57:K59"/>
    <mergeCell ref="H60:I61"/>
    <mergeCell ref="J60:K61"/>
    <mergeCell ref="F60:G61"/>
    <mergeCell ref="F57:G59"/>
    <mergeCell ref="A36:B36"/>
    <mergeCell ref="C36:E36"/>
    <mergeCell ref="F36:G36"/>
    <mergeCell ref="N50:N51"/>
    <mergeCell ref="I48:J48"/>
    <mergeCell ref="I47:J47"/>
    <mergeCell ref="I49:J49"/>
    <mergeCell ref="M48:M49"/>
    <mergeCell ref="J33:L34"/>
    <mergeCell ref="F37:G37"/>
    <mergeCell ref="C42:D42"/>
    <mergeCell ref="G48:H49"/>
    <mergeCell ref="L48:L49"/>
    <mergeCell ref="E45:F46"/>
    <mergeCell ref="G45:H46"/>
    <mergeCell ref="K45:K46"/>
    <mergeCell ref="E48:F49"/>
    <mergeCell ref="E47:F47"/>
    <mergeCell ref="C50:C51"/>
    <mergeCell ref="D50:D51"/>
    <mergeCell ref="E50:F51"/>
    <mergeCell ref="D48:D49"/>
    <mergeCell ref="G43:H44"/>
    <mergeCell ref="I43:J46"/>
    <mergeCell ref="A24:G24"/>
    <mergeCell ref="A25:G25"/>
    <mergeCell ref="H23:I23"/>
    <mergeCell ref="K48:K49"/>
    <mergeCell ref="J36:L36"/>
    <mergeCell ref="A43:B46"/>
    <mergeCell ref="H37:I37"/>
    <mergeCell ref="J37:L37"/>
    <mergeCell ref="A37:B37"/>
    <mergeCell ref="C37:E37"/>
    <mergeCell ref="F33:G34"/>
    <mergeCell ref="C39:E39"/>
    <mergeCell ref="A42:B42"/>
    <mergeCell ref="A41:N41"/>
    <mergeCell ref="E42:F42"/>
    <mergeCell ref="G42:H42"/>
    <mergeCell ref="I42:J42"/>
    <mergeCell ref="M33:N34"/>
    <mergeCell ref="K43:K44"/>
    <mergeCell ref="A47:B47"/>
    <mergeCell ref="A48:B49"/>
    <mergeCell ref="C48:C49"/>
    <mergeCell ref="N48:N49"/>
    <mergeCell ref="H33:I34"/>
    <mergeCell ref="A35:B35"/>
    <mergeCell ref="A33:B34"/>
    <mergeCell ref="C33:E34"/>
    <mergeCell ref="J32:L32"/>
    <mergeCell ref="A31:N31"/>
    <mergeCell ref="A32:B32"/>
    <mergeCell ref="C32:E32"/>
    <mergeCell ref="F32:G32"/>
    <mergeCell ref="H27:I27"/>
    <mergeCell ref="J27:N27"/>
    <mergeCell ref="H24:I24"/>
    <mergeCell ref="J26:N26"/>
    <mergeCell ref="M32:N32"/>
    <mergeCell ref="A26:G26"/>
    <mergeCell ref="A27:G27"/>
    <mergeCell ref="J23:N23"/>
    <mergeCell ref="H32:I32"/>
    <mergeCell ref="J24:N24"/>
    <mergeCell ref="A17:G17"/>
    <mergeCell ref="H17:I17"/>
    <mergeCell ref="J17:N17"/>
    <mergeCell ref="A22:G22"/>
    <mergeCell ref="A19:G19"/>
    <mergeCell ref="A21:G21"/>
    <mergeCell ref="A20:G20"/>
    <mergeCell ref="H21:I21"/>
    <mergeCell ref="H22:I22"/>
    <mergeCell ref="H20:I20"/>
    <mergeCell ref="J25:N25"/>
    <mergeCell ref="J21:N21"/>
    <mergeCell ref="J22:N22"/>
    <mergeCell ref="H25:I25"/>
    <mergeCell ref="H26:I26"/>
    <mergeCell ref="A23:G23"/>
    <mergeCell ref="A16:G16"/>
    <mergeCell ref="H16:I16"/>
    <mergeCell ref="J16:N16"/>
    <mergeCell ref="A18:G18"/>
    <mergeCell ref="H18:I18"/>
    <mergeCell ref="J18:N18"/>
    <mergeCell ref="J19:N19"/>
    <mergeCell ref="J20:N20"/>
    <mergeCell ref="H19:I19"/>
    <mergeCell ref="A15:G15"/>
    <mergeCell ref="H15:I15"/>
    <mergeCell ref="J15:N15"/>
    <mergeCell ref="J11:N11"/>
    <mergeCell ref="A13:G13"/>
    <mergeCell ref="H13:I13"/>
    <mergeCell ref="J13:N13"/>
    <mergeCell ref="A12:G12"/>
    <mergeCell ref="J12:N12"/>
    <mergeCell ref="A11:D11"/>
    <mergeCell ref="A10:G10"/>
    <mergeCell ref="H10:I10"/>
    <mergeCell ref="J10:N10"/>
    <mergeCell ref="H12:I12"/>
    <mergeCell ref="A9:G9"/>
    <mergeCell ref="H9:I9"/>
    <mergeCell ref="J9:N9"/>
    <mergeCell ref="H11:I11"/>
    <mergeCell ref="A14:G14"/>
    <mergeCell ref="H14:I14"/>
    <mergeCell ref="J14:N14"/>
    <mergeCell ref="H6:J6"/>
    <mergeCell ref="K6:N6"/>
    <mergeCell ref="A6:C6"/>
    <mergeCell ref="E6:G6"/>
    <mergeCell ref="A8:G8"/>
    <mergeCell ref="H8:I8"/>
    <mergeCell ref="J8:N8"/>
    <mergeCell ref="A7:C7"/>
    <mergeCell ref="E7:G7"/>
    <mergeCell ref="H7:J7"/>
    <mergeCell ref="K7:N7"/>
    <mergeCell ref="A2:N2"/>
    <mergeCell ref="A3:G3"/>
    <mergeCell ref="H3:N3"/>
    <mergeCell ref="A5:C5"/>
    <mergeCell ref="E5:G5"/>
    <mergeCell ref="H5:J5"/>
    <mergeCell ref="K5:N5"/>
    <mergeCell ref="A4:C4"/>
    <mergeCell ref="E4:G4"/>
    <mergeCell ref="H4:J4"/>
    <mergeCell ref="K4:N4"/>
    <mergeCell ref="E43:F44"/>
    <mergeCell ref="L43:L44"/>
    <mergeCell ref="N45:N46"/>
    <mergeCell ref="M35:N35"/>
    <mergeCell ref="C35:E35"/>
    <mergeCell ref="F35:G35"/>
    <mergeCell ref="H35:I35"/>
    <mergeCell ref="J35:L35"/>
    <mergeCell ref="M36:N36"/>
    <mergeCell ref="M37:N37"/>
    <mergeCell ref="N43:N44"/>
    <mergeCell ref="C43:D44"/>
    <mergeCell ref="L45:L46"/>
    <mergeCell ref="H36:I36"/>
    <mergeCell ref="M43:M46"/>
    <mergeCell ref="C45:D45"/>
    <mergeCell ref="G79:H79"/>
    <mergeCell ref="I79:J79"/>
    <mergeCell ref="A75:B78"/>
    <mergeCell ref="C75:D76"/>
    <mergeCell ref="E75:F76"/>
    <mergeCell ref="G75:H76"/>
    <mergeCell ref="A80:B81"/>
    <mergeCell ref="C80:C81"/>
    <mergeCell ref="D80:D81"/>
    <mergeCell ref="E80:F81"/>
    <mergeCell ref="G80:H81"/>
    <mergeCell ref="I80:J80"/>
    <mergeCell ref="A79:B79"/>
    <mergeCell ref="N80:N81"/>
    <mergeCell ref="I81:J81"/>
    <mergeCell ref="A82:B83"/>
    <mergeCell ref="C82:C83"/>
    <mergeCell ref="D82:D83"/>
    <mergeCell ref="E82:F83"/>
    <mergeCell ref="G82:H83"/>
    <mergeCell ref="I82:J82"/>
    <mergeCell ref="K82:K83"/>
    <mergeCell ref="L82:L83"/>
    <mergeCell ref="M82:M83"/>
    <mergeCell ref="N82:N83"/>
    <mergeCell ref="I83:J83"/>
    <mergeCell ref="H89:I91"/>
    <mergeCell ref="J89:K91"/>
    <mergeCell ref="L89:N91"/>
    <mergeCell ref="A89:C93"/>
    <mergeCell ref="D89:E91"/>
    <mergeCell ref="F89:G91"/>
    <mergeCell ref="D92:E93"/>
    <mergeCell ref="L88:N88"/>
    <mergeCell ref="L75:L76"/>
    <mergeCell ref="M75:M78"/>
    <mergeCell ref="N75:N76"/>
    <mergeCell ref="F92:G93"/>
    <mergeCell ref="H92:I93"/>
    <mergeCell ref="J92:K93"/>
    <mergeCell ref="L92:N93"/>
    <mergeCell ref="A87:N87"/>
    <mergeCell ref="A88:C88"/>
    <mergeCell ref="D88:E88"/>
    <mergeCell ref="F88:G88"/>
    <mergeCell ref="H88:I88"/>
    <mergeCell ref="J88:K88"/>
    <mergeCell ref="K80:K81"/>
    <mergeCell ref="L80:L81"/>
    <mergeCell ref="M80:M81"/>
    <mergeCell ref="A94:C94"/>
    <mergeCell ref="D94:E94"/>
    <mergeCell ref="F94:G94"/>
    <mergeCell ref="A98:C98"/>
    <mergeCell ref="H95:I95"/>
    <mergeCell ref="J95:K95"/>
    <mergeCell ref="H94:I94"/>
    <mergeCell ref="J94:K94"/>
    <mergeCell ref="L94:N94"/>
    <mergeCell ref="L95:N95"/>
    <mergeCell ref="A96:C96"/>
    <mergeCell ref="D96:E96"/>
    <mergeCell ref="F96:G96"/>
    <mergeCell ref="H96:I96"/>
    <mergeCell ref="J96:K96"/>
    <mergeCell ref="L96:N96"/>
    <mergeCell ref="A97:C97"/>
    <mergeCell ref="D97:E97"/>
    <mergeCell ref="F97:G97"/>
    <mergeCell ref="H97:I97"/>
    <mergeCell ref="J97:K97"/>
    <mergeCell ref="L97:N97"/>
    <mergeCell ref="A95:C95"/>
    <mergeCell ref="D95:E95"/>
    <mergeCell ref="F95:G95"/>
    <mergeCell ref="K185:M185"/>
    <mergeCell ref="H99:I99"/>
    <mergeCell ref="J99:K99"/>
    <mergeCell ref="L99:N99"/>
    <mergeCell ref="H98:I98"/>
    <mergeCell ref="J98:K98"/>
    <mergeCell ref="L98:N98"/>
    <mergeCell ref="D98:E98"/>
    <mergeCell ref="F98:G98"/>
    <mergeCell ref="B180:D180"/>
    <mergeCell ref="A114:C114"/>
    <mergeCell ref="A115:C115"/>
    <mergeCell ref="A116:C116"/>
    <mergeCell ref="D109:E109"/>
    <mergeCell ref="D110:E110"/>
    <mergeCell ref="D111:E111"/>
    <mergeCell ref="D112:E112"/>
    <mergeCell ref="A113:C113"/>
    <mergeCell ref="D113:E113"/>
    <mergeCell ref="D114:E114"/>
    <mergeCell ref="A111:C111"/>
    <mergeCell ref="A112:C112"/>
    <mergeCell ref="J108:L108"/>
    <mergeCell ref="H107:I108"/>
    <mergeCell ref="K186:M186"/>
    <mergeCell ref="B181:D184"/>
    <mergeCell ref="E180:G180"/>
    <mergeCell ref="H180:J180"/>
    <mergeCell ref="B179:M179"/>
    <mergeCell ref="A99:C99"/>
    <mergeCell ref="D99:E99"/>
    <mergeCell ref="F99:G99"/>
    <mergeCell ref="A110:C110"/>
    <mergeCell ref="D115:E115"/>
    <mergeCell ref="D116:E116"/>
    <mergeCell ref="F109:G109"/>
    <mergeCell ref="F110:G110"/>
    <mergeCell ref="F111:G111"/>
    <mergeCell ref="F112:G112"/>
    <mergeCell ref="F113:G113"/>
    <mergeCell ref="F114:G114"/>
    <mergeCell ref="F115:G115"/>
    <mergeCell ref="F116:G116"/>
    <mergeCell ref="H115:I115"/>
    <mergeCell ref="H116:I116"/>
    <mergeCell ref="I121:J121"/>
    <mergeCell ref="K121:L121"/>
    <mergeCell ref="K187:M187"/>
    <mergeCell ref="K180:M180"/>
    <mergeCell ref="E181:G183"/>
    <mergeCell ref="H181:J184"/>
    <mergeCell ref="E184:G184"/>
    <mergeCell ref="B185:D185"/>
    <mergeCell ref="B186:D186"/>
    <mergeCell ref="H185:J185"/>
    <mergeCell ref="H186:J186"/>
    <mergeCell ref="B187:D187"/>
    <mergeCell ref="E185:G185"/>
    <mergeCell ref="E186:G186"/>
    <mergeCell ref="E187:G187"/>
    <mergeCell ref="K181:M183"/>
    <mergeCell ref="K184:M184"/>
    <mergeCell ref="H187:J187"/>
  </mergeCells>
  <conditionalFormatting sqref="J11:N11">
    <cfRule type="cellIs" dxfId="2" priority="1" stopIfTrue="1" operator="greaterThan">
      <formula>$F$11</formula>
    </cfRule>
  </conditionalFormatting>
  <dataValidations count="14">
    <dataValidation type="decimal" allowBlank="1" showInputMessage="1" showErrorMessage="1" sqref="J27:N27 P27" xr:uid="{00000000-0002-0000-0100-000000000000}">
      <formula1>0</formula1>
      <formula2>10</formula2>
    </dataValidation>
    <dataValidation type="list" allowBlank="1" showInputMessage="1" showErrorMessage="1" sqref="J14:N14 P14" xr:uid="{00000000-0002-0000-0100-000001000000}">
      <formula1>UMedWidth</formula1>
    </dataValidation>
    <dataValidation type="list" operator="greaterThan" allowBlank="1" showInputMessage="1" showErrorMessage="1" sqref="J9:N9" xr:uid="{00000000-0002-0000-0100-000002000000}">
      <formula1>RType</formula1>
    </dataValidation>
    <dataValidation type="decimal" operator="greaterThan" allowBlank="1" showInputMessage="1" showErrorMessage="1" sqref="J10:N10 P10" xr:uid="{00000000-0002-0000-0100-000003000000}">
      <formula1>0</formula1>
    </dataValidation>
    <dataValidation type="decimal" operator="lessThanOrEqual" allowBlank="1" showInputMessage="1" showErrorMessage="1" sqref="J13:N13 P13" xr:uid="{00000000-0002-0000-0100-000004000000}">
      <formula1>1</formula1>
    </dataValidation>
    <dataValidation type="whole" allowBlank="1" showInputMessage="1" showErrorMessage="1" sqref="J11:N11 P11" xr:uid="{00000000-0002-0000-0100-000005000000}">
      <formula1>0</formula1>
      <formula2>66000</formula2>
    </dataValidation>
    <dataValidation type="whole" operator="greaterThan" allowBlank="1" showInputMessage="1" showErrorMessage="1" sqref="K7:P7" xr:uid="{00000000-0002-0000-0100-000006000000}">
      <formula1>1990</formula1>
    </dataValidation>
    <dataValidation type="list" allowBlank="1" showInputMessage="1" showErrorMessage="1" sqref="J15:N16 P15:P16" xr:uid="{00000000-0002-0000-0100-000007000000}">
      <formula1>PresOrNot</formula1>
    </dataValidation>
    <dataValidation type="list" allowBlank="1" showInputMessage="1" showErrorMessage="1" sqref="J12:N12 P12" xr:uid="{00000000-0002-0000-0100-000008000000}">
      <formula1>OnStreetType</formula1>
    </dataValidation>
    <dataValidation type="list" allowBlank="1" showInputMessage="1" showErrorMessage="1" sqref="P26" xr:uid="{00000000-0002-0000-0100-000009000000}">
      <formula1>OffsetFO</formula1>
    </dataValidation>
    <dataValidation type="decimal" operator="greaterThanOrEqual" allowBlank="1" showInputMessage="1" showErrorMessage="1" sqref="J25:N25 P25" xr:uid="{00000000-0002-0000-0100-00000A000000}">
      <formula1>0</formula1>
    </dataValidation>
    <dataValidation type="whole" operator="greaterThanOrEqual" allowBlank="1" showInputMessage="1" showErrorMessage="1" sqref="J17:N23" xr:uid="{00000000-0002-0000-0100-00000B000000}">
      <formula1>0</formula1>
    </dataValidation>
    <dataValidation type="list" allowBlank="1" showInputMessage="1" showErrorMessage="1" sqref="J24:N24" xr:uid="{00000000-0002-0000-0100-00000C000000}">
      <formula1>Posted</formula1>
    </dataValidation>
    <dataValidation type="whole" allowBlank="1" showInputMessage="1" showErrorMessage="1" sqref="J26:N26" xr:uid="{00000000-0002-0000-0100-00000D000000}">
      <formula1>2</formula1>
      <formula2>30</formula2>
    </dataValidation>
  </dataValidations>
  <pageMargins left="0.7" right="0.7" top="0.75" bottom="0.75" header="0.3" footer="0.3"/>
  <pageSetup scale="76" fitToHeight="4" orientation="landscape" r:id="rId1"/>
  <headerFooter>
    <oddHeader>&amp;CHSM Urban and Suburban Arterial Predictive Method</oddHeader>
    <oddFooter>&amp;R&amp;P</oddFooter>
  </headerFooter>
  <rowBreaks count="2" manualBreakCount="2">
    <brk id="101" max="13" man="1"/>
    <brk id="150" max="13" man="1"/>
  </rowBreaks>
  <ignoredErrors>
    <ignoredError sqref="A32 C32 F32 H32 J32 M32 A42 C42 E42 G42 I42 K42:N42 A56 D56 F56 H56 J56 L56 A74 C74 E74 G74 I74 K74:N74 A88 D88 F88 H88 J88 L88 A104 D104 F104 H104 J104 M104 A121 D121 F121 H121:I121 K121 M121 A133 C133 E133 G133 I133 K133:M133 A143 C143 E143 G143 I143 K143:M143 A153 F153 I153 L153 B180 E180 H180 K180" numberStoredAsText="1"/>
    <ignoredError sqref="I159:I163 I165 I168:I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V185"/>
  <sheetViews>
    <sheetView zoomScale="80" zoomScaleNormal="80" workbookViewId="0">
      <selection activeCell="O15" sqref="O15"/>
    </sheetView>
  </sheetViews>
  <sheetFormatPr defaultRowHeight="12.75" x14ac:dyDescent="0.2"/>
  <cols>
    <col min="1" max="7" width="11.7109375" customWidth="1"/>
    <col min="8" max="8" width="15.7109375" customWidth="1"/>
    <col min="9" max="10" width="10.7109375" customWidth="1"/>
    <col min="11" max="11" width="11.7109375" customWidth="1"/>
    <col min="12" max="12" width="13.42578125" customWidth="1"/>
    <col min="13" max="14" width="10.7109375" customWidth="1"/>
    <col min="15" max="15" width="14.28515625" customWidth="1"/>
    <col min="16" max="16" width="63" customWidth="1"/>
    <col min="19" max="19" width="16.7109375" customWidth="1"/>
    <col min="20" max="22" width="13.7109375" customWidth="1"/>
  </cols>
  <sheetData>
    <row r="1" spans="1:22" ht="13.5" thickBot="1" x14ac:dyDescent="0.25">
      <c r="A1" s="26"/>
      <c r="B1" s="26"/>
    </row>
    <row r="2" spans="1:22" ht="14.25" customHeight="1" thickTop="1" thickBot="1" x14ac:dyDescent="0.25">
      <c r="A2" s="309" t="s">
        <v>353</v>
      </c>
      <c r="B2" s="358"/>
      <c r="C2" s="358"/>
      <c r="D2" s="358"/>
      <c r="E2" s="408"/>
      <c r="F2" s="408"/>
      <c r="G2" s="408"/>
      <c r="H2" s="408"/>
      <c r="I2" s="408"/>
      <c r="J2" s="408"/>
      <c r="K2" s="408"/>
      <c r="L2" s="408"/>
      <c r="M2" s="408"/>
      <c r="N2" s="408"/>
    </row>
    <row r="3" spans="1:22" ht="14.25" x14ac:dyDescent="0.25">
      <c r="A3" s="409" t="s">
        <v>0</v>
      </c>
      <c r="B3" s="410"/>
      <c r="C3" s="410"/>
      <c r="D3" s="410"/>
      <c r="E3" s="410"/>
      <c r="F3" s="410"/>
      <c r="G3" s="411"/>
      <c r="H3" s="412" t="s">
        <v>8</v>
      </c>
      <c r="I3" s="413"/>
      <c r="J3" s="413"/>
      <c r="K3" s="413"/>
      <c r="L3" s="413"/>
      <c r="M3" s="413"/>
      <c r="N3" s="413"/>
      <c r="S3" s="93" t="s">
        <v>499</v>
      </c>
    </row>
    <row r="4" spans="1:22" ht="13.5" customHeight="1" x14ac:dyDescent="0.2">
      <c r="A4" s="421" t="s">
        <v>1</v>
      </c>
      <c r="B4" s="421"/>
      <c r="C4" s="421"/>
      <c r="D4" s="20"/>
      <c r="E4" s="422" t="s">
        <v>642</v>
      </c>
      <c r="F4" s="423"/>
      <c r="G4" s="424"/>
      <c r="H4" s="425" t="s">
        <v>9</v>
      </c>
      <c r="I4" s="421"/>
      <c r="J4" s="426"/>
      <c r="K4" s="422" t="s">
        <v>645</v>
      </c>
      <c r="L4" s="423"/>
      <c r="M4" s="423"/>
      <c r="N4" s="423"/>
    </row>
    <row r="5" spans="1:22" ht="12.75" customHeight="1" x14ac:dyDescent="0.2">
      <c r="A5" s="414" t="s">
        <v>2</v>
      </c>
      <c r="B5" s="414"/>
      <c r="C5" s="414"/>
      <c r="D5" s="16"/>
      <c r="E5" s="415" t="s">
        <v>643</v>
      </c>
      <c r="F5" s="416"/>
      <c r="G5" s="417"/>
      <c r="H5" s="418" t="s">
        <v>72</v>
      </c>
      <c r="I5" s="419"/>
      <c r="J5" s="420"/>
      <c r="K5" s="415" t="s">
        <v>648</v>
      </c>
      <c r="L5" s="416"/>
      <c r="M5" s="416"/>
      <c r="N5" s="416"/>
      <c r="S5" s="26" t="s">
        <v>500</v>
      </c>
      <c r="T5" s="28">
        <f>IF($J$20&gt;0,IF($J$9="3ST",1,IF($J$9="4ST",1,IF($J$21="Permissive",1,IF($J$21="Protected",0.94,0.99)))),1)</f>
        <v>1</v>
      </c>
      <c r="U5" s="29"/>
    </row>
    <row r="6" spans="1:22" ht="14.25" customHeight="1" x14ac:dyDescent="0.2">
      <c r="A6" s="414" t="s">
        <v>3</v>
      </c>
      <c r="B6" s="414"/>
      <c r="C6" s="414"/>
      <c r="D6" s="16"/>
      <c r="E6" s="427" t="s">
        <v>644</v>
      </c>
      <c r="F6" s="416"/>
      <c r="G6" s="417"/>
      <c r="H6" s="418" t="s">
        <v>11</v>
      </c>
      <c r="I6" s="419"/>
      <c r="J6" s="420"/>
      <c r="K6" s="415" t="s">
        <v>647</v>
      </c>
      <c r="L6" s="416"/>
      <c r="M6" s="416"/>
      <c r="N6" s="416"/>
      <c r="S6" s="26" t="s">
        <v>501</v>
      </c>
      <c r="T6" s="28">
        <f>IF($J$20&gt;1,IF($J$9="3ST",1,IF($J$9="4ST",1,IF($J$22="Permissive",1,IF($J$22="Protected",0.94,0.99)))),1)</f>
        <v>1</v>
      </c>
    </row>
    <row r="7" spans="1:22" x14ac:dyDescent="0.2">
      <c r="A7" s="432"/>
      <c r="B7" s="432"/>
      <c r="C7" s="432"/>
      <c r="D7" s="23"/>
      <c r="E7" s="418"/>
      <c r="F7" s="419"/>
      <c r="G7" s="420"/>
      <c r="H7" s="418" t="s">
        <v>12</v>
      </c>
      <c r="I7" s="419"/>
      <c r="J7" s="420"/>
      <c r="K7" s="433">
        <v>2019</v>
      </c>
      <c r="L7" s="434"/>
      <c r="M7" s="434"/>
      <c r="N7" s="434"/>
      <c r="S7" s="26" t="s">
        <v>502</v>
      </c>
      <c r="T7" s="28">
        <f>IF($J$20&gt;2,IF($J$9="3ST",1,IF($J$9="4ST",1,IF($J$23="Permissive",1,IF($J$23="Protected",0.94,0.99)))),1)</f>
        <v>1</v>
      </c>
    </row>
    <row r="8" spans="1:22" x14ac:dyDescent="0.2">
      <c r="A8" s="428" t="s">
        <v>4</v>
      </c>
      <c r="B8" s="429"/>
      <c r="C8" s="429"/>
      <c r="D8" s="429"/>
      <c r="E8" s="429"/>
      <c r="F8" s="429"/>
      <c r="G8" s="430"/>
      <c r="H8" s="431" t="s">
        <v>13</v>
      </c>
      <c r="I8" s="430"/>
      <c r="J8" s="431" t="s">
        <v>15</v>
      </c>
      <c r="K8" s="429"/>
      <c r="L8" s="429"/>
      <c r="M8" s="429"/>
      <c r="N8" s="429"/>
      <c r="S8" s="26" t="s">
        <v>503</v>
      </c>
      <c r="T8" s="28">
        <f>IF($J$9="3SG",1,IF($J$9="3ST",1,IF($J$9="4ST",1,IF($J$24="Permissive",1,IF($J$24="Protected",0.94,0.99)))))</f>
        <v>1</v>
      </c>
    </row>
    <row r="9" spans="1:22" ht="13.5" thickBot="1" x14ac:dyDescent="0.25">
      <c r="A9" s="439" t="s">
        <v>354</v>
      </c>
      <c r="B9" s="435"/>
      <c r="C9" s="435"/>
      <c r="D9" s="435"/>
      <c r="E9" s="435"/>
      <c r="F9" s="435"/>
      <c r="G9" s="332"/>
      <c r="H9" s="440" t="s">
        <v>14</v>
      </c>
      <c r="I9" s="426"/>
      <c r="J9" s="692" t="s">
        <v>75</v>
      </c>
      <c r="K9" s="442"/>
      <c r="L9" s="442"/>
      <c r="M9" s="442"/>
      <c r="N9" s="442"/>
      <c r="P9" t="str">
        <f>IF($J$9="3ST","Unsignalized three-leg intersection (stop control on minor-road approaches)",IF($J$9="3SG","Signalized three-leg intersections",IF($J$9="4ST","Unsignalized four-leg intersection (stop control on minor-road approaches)","Signalized four-leg intersections")))</f>
        <v>Unsignalized three-leg intersection (stop control on minor-road approaches)</v>
      </c>
      <c r="S9" s="26" t="s">
        <v>504</v>
      </c>
      <c r="T9" s="12">
        <f>T5*T6*T7*T8</f>
        <v>1</v>
      </c>
    </row>
    <row r="10" spans="1:22" ht="16.5" thickBot="1" x14ac:dyDescent="0.35">
      <c r="A10" s="439" t="s">
        <v>355</v>
      </c>
      <c r="B10" s="435"/>
      <c r="C10" s="435"/>
      <c r="D10" s="687"/>
      <c r="E10" s="207" t="s">
        <v>607</v>
      </c>
      <c r="F10" s="209">
        <f>IF($J$9="3ST",45700,IF($J$9="4ST",46800,IF($J$9="3SG",58100,67700)))</f>
        <v>45700</v>
      </c>
      <c r="G10" s="208" t="s">
        <v>606</v>
      </c>
      <c r="H10" s="436" t="s">
        <v>14</v>
      </c>
      <c r="I10" s="332"/>
      <c r="J10" s="693">
        <v>1</v>
      </c>
      <c r="K10" s="694"/>
      <c r="L10" s="694"/>
      <c r="M10" s="694"/>
      <c r="N10" s="694"/>
      <c r="O10" s="135" t="str">
        <f>IF(J10&gt;F10,"AADT out of range","AADT OK")</f>
        <v>AADT OK</v>
      </c>
    </row>
    <row r="11" spans="1:22" ht="16.5" thickBot="1" x14ac:dyDescent="0.35">
      <c r="A11" s="439" t="s">
        <v>356</v>
      </c>
      <c r="B11" s="435"/>
      <c r="C11" s="435"/>
      <c r="D11" s="687"/>
      <c r="E11" s="207" t="s">
        <v>607</v>
      </c>
      <c r="F11" s="209">
        <f>IF($J$9="3ST",9300,IF($J$9="4ST",5900,IF($J$9="3SG",16400,33400)))</f>
        <v>9300</v>
      </c>
      <c r="G11" s="208" t="s">
        <v>606</v>
      </c>
      <c r="H11" s="436" t="s">
        <v>14</v>
      </c>
      <c r="I11" s="332"/>
      <c r="J11" s="448">
        <v>5</v>
      </c>
      <c r="K11" s="449"/>
      <c r="L11" s="449"/>
      <c r="M11" s="449"/>
      <c r="N11" s="449"/>
      <c r="O11" s="135" t="str">
        <f>IF(J11&gt;F11,"AADT out of range","AADT OK")</f>
        <v>AADT OK</v>
      </c>
    </row>
    <row r="12" spans="1:22" x14ac:dyDescent="0.2">
      <c r="A12" s="439" t="s">
        <v>73</v>
      </c>
      <c r="B12" s="435"/>
      <c r="C12" s="435"/>
      <c r="D12" s="435"/>
      <c r="E12" s="435"/>
      <c r="F12" s="435"/>
      <c r="G12" s="332"/>
      <c r="H12" s="438" t="s">
        <v>59</v>
      </c>
      <c r="I12" s="332"/>
      <c r="J12" s="447" t="s">
        <v>59</v>
      </c>
      <c r="K12" s="447"/>
      <c r="L12" s="447"/>
      <c r="M12" s="447"/>
      <c r="N12" s="447"/>
    </row>
    <row r="13" spans="1:22" ht="15.75" x14ac:dyDescent="0.3">
      <c r="A13" s="439" t="s">
        <v>357</v>
      </c>
      <c r="B13" s="435"/>
      <c r="C13" s="435"/>
      <c r="D13" s="435"/>
      <c r="E13" s="435"/>
      <c r="F13" s="435"/>
      <c r="G13" s="332"/>
      <c r="H13" s="688">
        <v>1</v>
      </c>
      <c r="I13" s="689"/>
      <c r="J13" s="690">
        <v>1</v>
      </c>
      <c r="K13" s="691"/>
      <c r="L13" s="691"/>
      <c r="M13" s="691"/>
      <c r="N13" s="691"/>
      <c r="S13" s="93" t="s">
        <v>509</v>
      </c>
    </row>
    <row r="14" spans="1:22" x14ac:dyDescent="0.2">
      <c r="A14" s="439" t="s">
        <v>358</v>
      </c>
      <c r="B14" s="435"/>
      <c r="C14" s="435"/>
      <c r="D14" s="435"/>
      <c r="E14" s="435"/>
      <c r="F14" s="435"/>
      <c r="G14" s="332"/>
      <c r="H14" s="436" t="s">
        <v>14</v>
      </c>
      <c r="I14" s="332"/>
      <c r="J14" s="605" t="s">
        <v>14</v>
      </c>
      <c r="K14" s="429"/>
      <c r="L14" s="429"/>
      <c r="M14" s="429"/>
      <c r="N14" s="429"/>
    </row>
    <row r="15" spans="1:22" ht="15.75" x14ac:dyDescent="0.3">
      <c r="A15" s="686" t="s">
        <v>490</v>
      </c>
      <c r="B15" s="603"/>
      <c r="C15" s="603"/>
      <c r="D15" s="603"/>
      <c r="E15" s="603"/>
      <c r="F15" s="603"/>
      <c r="G15" s="604"/>
      <c r="H15" s="436">
        <v>0</v>
      </c>
      <c r="I15" s="332"/>
      <c r="J15" s="453">
        <v>0</v>
      </c>
      <c r="K15" s="446"/>
      <c r="L15" s="446"/>
      <c r="M15" s="446"/>
      <c r="N15" s="446"/>
      <c r="S15" s="121" t="s">
        <v>510</v>
      </c>
      <c r="T15" s="180">
        <f>IF('Reference Tables (Intersection)'!$C$33="No",(IF($J$9="3ST",'Reference Tables (Intersection)'!$D$39,IF($J$9="3SG",'Reference Tables (Intersection)'!$F$39,IF($J$9="4ST",'Reference Tables (Intersection)'!$H$39,'Reference Tables (Intersection)'!$J$39)))),(IF($J$9="3ST",'Reference Tables (Intersection)'!$D$48,IF($J$9="3SG",'Reference Tables (Intersection)'!$F$48,IF($J$9="4ST",'Reference Tables (Intersection)'!$H$48,'Reference Tables (Intersection)'!$J$48)))))</f>
        <v>0.34300000000000003</v>
      </c>
      <c r="U15" s="121" t="s">
        <v>516</v>
      </c>
      <c r="V15" s="180">
        <f>IF('Reference Tables (Intersection)'!$C$33="No",(IF($J$9="3ST",'Reference Tables (Intersection)'!$D$37,IF($J$9="3SG",'Reference Tables (Intersection)'!$F$37,IF($J$9="4ST",'Reference Tables (Intersection)'!$H$37,'Reference Tables (Intersection)'!$J$37)))),(IF($J$9="3ST",'Reference Tables (Intersection)'!$D$46,IF($J$9="3SG",'Reference Tables (Intersection)'!$F$46,IF($J$9="4ST",'Reference Tables (Intersection)'!$H$46,'Reference Tables (Intersection)'!$J$46)))))</f>
        <v>0.42099999999999999</v>
      </c>
    </row>
    <row r="16" spans="1:22" ht="15.75" x14ac:dyDescent="0.3">
      <c r="A16" s="686" t="s">
        <v>491</v>
      </c>
      <c r="B16" s="603"/>
      <c r="C16" s="603"/>
      <c r="D16" s="603"/>
      <c r="E16" s="603"/>
      <c r="F16" s="603"/>
      <c r="G16" s="604"/>
      <c r="H16" s="436">
        <v>0</v>
      </c>
      <c r="I16" s="332"/>
      <c r="J16" s="453">
        <v>0</v>
      </c>
      <c r="K16" s="446"/>
      <c r="L16" s="446"/>
      <c r="M16" s="446"/>
      <c r="N16" s="446"/>
      <c r="S16" s="121" t="s">
        <v>511</v>
      </c>
      <c r="T16" s="180">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0.26200000000000001</v>
      </c>
      <c r="U16" s="121" t="s">
        <v>517</v>
      </c>
      <c r="V16" s="180">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0.44</v>
      </c>
    </row>
    <row r="17" spans="1:22" ht="15.75" x14ac:dyDescent="0.3">
      <c r="A17" s="439" t="s">
        <v>489</v>
      </c>
      <c r="B17" s="435"/>
      <c r="C17" s="435"/>
      <c r="D17" s="435"/>
      <c r="E17" s="435"/>
      <c r="F17" s="435"/>
      <c r="G17" s="332"/>
      <c r="H17" s="436" t="s">
        <v>14</v>
      </c>
      <c r="I17" s="332"/>
      <c r="J17" s="605" t="s">
        <v>14</v>
      </c>
      <c r="K17" s="429"/>
      <c r="L17" s="429"/>
      <c r="M17" s="429"/>
      <c r="N17" s="429"/>
      <c r="S17" s="121" t="s">
        <v>512</v>
      </c>
      <c r="T17" s="180">
        <f>+$K$52</f>
        <v>2.2493226153007515E-6</v>
      </c>
      <c r="U17" s="121" t="s">
        <v>512</v>
      </c>
      <c r="V17" s="180">
        <f>+$K$52</f>
        <v>2.2493226153007515E-6</v>
      </c>
    </row>
    <row r="18" spans="1:22" ht="15.75" x14ac:dyDescent="0.3">
      <c r="A18" s="686" t="s">
        <v>507</v>
      </c>
      <c r="B18" s="603"/>
      <c r="C18" s="603"/>
      <c r="D18" s="603"/>
      <c r="E18" s="603"/>
      <c r="F18" s="603"/>
      <c r="G18" s="604"/>
      <c r="H18" s="436">
        <v>0</v>
      </c>
      <c r="I18" s="332"/>
      <c r="J18" s="453">
        <v>0</v>
      </c>
      <c r="K18" s="446"/>
      <c r="L18" s="446"/>
      <c r="M18" s="446"/>
      <c r="N18" s="446"/>
      <c r="S18" s="121" t="s">
        <v>513</v>
      </c>
      <c r="T18" s="180">
        <f>+$K$54</f>
        <v>8.0140493136085558E-7</v>
      </c>
      <c r="U18" s="121" t="s">
        <v>513</v>
      </c>
      <c r="V18" s="180">
        <f>+$K$54</f>
        <v>8.0140493136085558E-7</v>
      </c>
    </row>
    <row r="19" spans="1:22" ht="15.75" x14ac:dyDescent="0.3">
      <c r="A19" s="686" t="s">
        <v>505</v>
      </c>
      <c r="B19" s="603"/>
      <c r="C19" s="603"/>
      <c r="D19" s="603"/>
      <c r="E19" s="603"/>
      <c r="F19" s="603"/>
      <c r="G19" s="604"/>
      <c r="H19" s="436">
        <v>0</v>
      </c>
      <c r="I19" s="332"/>
      <c r="J19" s="453">
        <v>0</v>
      </c>
      <c r="K19" s="446"/>
      <c r="L19" s="446"/>
      <c r="M19" s="446"/>
      <c r="N19" s="446"/>
      <c r="S19" s="121" t="s">
        <v>514</v>
      </c>
      <c r="T19" s="180">
        <f>+$H$83</f>
        <v>2.5057011969865394E-3</v>
      </c>
      <c r="U19" s="121" t="s">
        <v>514</v>
      </c>
      <c r="V19" s="180">
        <f>+$H$83</f>
        <v>2.5057011969865394E-3</v>
      </c>
    </row>
    <row r="20" spans="1:22" ht="15.75" x14ac:dyDescent="0.3">
      <c r="A20" s="686" t="s">
        <v>506</v>
      </c>
      <c r="B20" s="603"/>
      <c r="C20" s="603"/>
      <c r="D20" s="603"/>
      <c r="E20" s="603"/>
      <c r="F20" s="603"/>
      <c r="G20" s="604"/>
      <c r="H20" s="436" t="s">
        <v>14</v>
      </c>
      <c r="I20" s="332"/>
      <c r="J20" s="453">
        <v>0</v>
      </c>
      <c r="K20" s="446"/>
      <c r="L20" s="446"/>
      <c r="M20" s="446"/>
      <c r="N20" s="446"/>
      <c r="S20" s="121" t="s">
        <v>515</v>
      </c>
      <c r="T20" s="180">
        <f>((+T15*T17)+(+T16*T18))/(+T17+T18+T19)</f>
        <v>3.9122471196402785E-4</v>
      </c>
      <c r="U20" s="121" t="s">
        <v>518</v>
      </c>
      <c r="V20" s="180">
        <f>((+V15*V17)+(+V16*V18))/(+V17+V18+V19)</f>
        <v>5.1801972850791295E-4</v>
      </c>
    </row>
    <row r="21" spans="1:22" x14ac:dyDescent="0.2">
      <c r="A21" s="602" t="s">
        <v>497</v>
      </c>
      <c r="B21" s="603"/>
      <c r="C21" s="603"/>
      <c r="D21" s="603"/>
      <c r="E21" s="603"/>
      <c r="F21" s="603"/>
      <c r="G21" s="604"/>
      <c r="H21" s="438" t="s">
        <v>364</v>
      </c>
      <c r="I21" s="332"/>
      <c r="J21" s="453" t="s">
        <v>494</v>
      </c>
      <c r="K21" s="446"/>
      <c r="L21" s="446"/>
      <c r="M21" s="446"/>
      <c r="N21" s="446"/>
    </row>
    <row r="22" spans="1:22" ht="15.75" x14ac:dyDescent="0.3">
      <c r="A22" s="602" t="s">
        <v>498</v>
      </c>
      <c r="B22" s="603"/>
      <c r="C22" s="603"/>
      <c r="D22" s="603"/>
      <c r="E22" s="603"/>
      <c r="F22" s="603"/>
      <c r="G22" s="604"/>
      <c r="H22" s="436" t="s">
        <v>14</v>
      </c>
      <c r="I22" s="332"/>
      <c r="J22" s="453" t="s">
        <v>494</v>
      </c>
      <c r="K22" s="446"/>
      <c r="L22" s="446"/>
      <c r="M22" s="446"/>
      <c r="N22" s="446"/>
      <c r="S22" s="121" t="s">
        <v>519</v>
      </c>
      <c r="T22" s="12">
        <f>1-(T20*(1-0.74))-(V20*(1-1.18))</f>
        <v>0.99999152512602074</v>
      </c>
    </row>
    <row r="23" spans="1:22" x14ac:dyDescent="0.2">
      <c r="A23" s="602" t="s">
        <v>496</v>
      </c>
      <c r="B23" s="603"/>
      <c r="C23" s="603"/>
      <c r="D23" s="603"/>
      <c r="E23" s="603"/>
      <c r="F23" s="603"/>
      <c r="G23" s="604"/>
      <c r="H23" s="436" t="s">
        <v>14</v>
      </c>
      <c r="I23" s="332"/>
      <c r="J23" s="453" t="s">
        <v>494</v>
      </c>
      <c r="K23" s="446"/>
      <c r="L23" s="446"/>
      <c r="M23" s="446"/>
      <c r="N23" s="446"/>
    </row>
    <row r="24" spans="1:22" x14ac:dyDescent="0.2">
      <c r="A24" s="602" t="s">
        <v>495</v>
      </c>
      <c r="B24" s="603"/>
      <c r="C24" s="603"/>
      <c r="D24" s="603"/>
      <c r="E24" s="603"/>
      <c r="F24" s="603"/>
      <c r="G24" s="604"/>
      <c r="H24" s="436" t="s">
        <v>14</v>
      </c>
      <c r="I24" s="332"/>
      <c r="J24" s="453" t="s">
        <v>494</v>
      </c>
      <c r="K24" s="446"/>
      <c r="L24" s="446"/>
      <c r="M24" s="446"/>
      <c r="N24" s="446"/>
    </row>
    <row r="25" spans="1:22" x14ac:dyDescent="0.2">
      <c r="A25" s="602" t="s">
        <v>508</v>
      </c>
      <c r="B25" s="603"/>
      <c r="C25" s="603"/>
      <c r="D25" s="603"/>
      <c r="E25" s="603"/>
      <c r="F25" s="603"/>
      <c r="G25" s="604"/>
      <c r="H25" s="436">
        <v>0</v>
      </c>
      <c r="I25" s="332"/>
      <c r="J25" s="453">
        <v>0</v>
      </c>
      <c r="K25" s="446"/>
      <c r="L25" s="446"/>
      <c r="M25" s="446"/>
      <c r="N25" s="446"/>
    </row>
    <row r="26" spans="1:22" x14ac:dyDescent="0.2">
      <c r="A26" s="686" t="s">
        <v>363</v>
      </c>
      <c r="B26" s="603"/>
      <c r="C26" s="603"/>
      <c r="D26" s="603"/>
      <c r="E26" s="603"/>
      <c r="F26" s="603"/>
      <c r="G26" s="604"/>
      <c r="H26" s="438" t="s">
        <v>59</v>
      </c>
      <c r="I26" s="332"/>
      <c r="J26" s="447" t="s">
        <v>59</v>
      </c>
      <c r="K26" s="447"/>
      <c r="L26" s="447"/>
      <c r="M26" s="447"/>
      <c r="N26" s="447"/>
    </row>
    <row r="27" spans="1:22" x14ac:dyDescent="0.2">
      <c r="A27" s="686" t="s">
        <v>590</v>
      </c>
      <c r="B27" s="603"/>
      <c r="C27" s="603"/>
      <c r="D27" s="603"/>
      <c r="E27" s="603"/>
      <c r="F27" s="603"/>
      <c r="G27" s="604"/>
      <c r="H27" s="436"/>
      <c r="I27" s="332"/>
      <c r="J27" s="448">
        <v>0</v>
      </c>
      <c r="K27" s="449"/>
      <c r="L27" s="449"/>
      <c r="M27" s="449"/>
      <c r="N27" s="449"/>
    </row>
    <row r="28" spans="1:22" ht="15.75" x14ac:dyDescent="0.3">
      <c r="A28" s="686" t="s">
        <v>362</v>
      </c>
      <c r="B28" s="603"/>
      <c r="C28" s="603"/>
      <c r="D28" s="603"/>
      <c r="E28" s="603"/>
      <c r="F28" s="603"/>
      <c r="G28" s="604"/>
      <c r="H28" s="436" t="s">
        <v>14</v>
      </c>
      <c r="I28" s="332"/>
      <c r="J28" s="450">
        <v>0</v>
      </c>
      <c r="K28" s="451"/>
      <c r="L28" s="451"/>
      <c r="M28" s="451"/>
      <c r="N28" s="451"/>
    </row>
    <row r="29" spans="1:22" x14ac:dyDescent="0.2">
      <c r="A29" s="686" t="s">
        <v>361</v>
      </c>
      <c r="B29" s="603"/>
      <c r="C29" s="603"/>
      <c r="D29" s="603"/>
      <c r="E29" s="603"/>
      <c r="F29" s="603"/>
      <c r="G29" s="604"/>
      <c r="H29" s="438">
        <v>0</v>
      </c>
      <c r="I29" s="336"/>
      <c r="J29" s="450">
        <v>0</v>
      </c>
      <c r="K29" s="454"/>
      <c r="L29" s="454"/>
      <c r="M29" s="454"/>
      <c r="N29" s="454"/>
    </row>
    <row r="30" spans="1:22" x14ac:dyDescent="0.2">
      <c r="A30" s="686" t="s">
        <v>360</v>
      </c>
      <c r="B30" s="603"/>
      <c r="C30" s="603"/>
      <c r="D30" s="603"/>
      <c r="E30" s="603"/>
      <c r="F30" s="603"/>
      <c r="G30" s="604"/>
      <c r="H30" s="438" t="s">
        <v>59</v>
      </c>
      <c r="I30" s="336"/>
      <c r="J30" s="447" t="s">
        <v>59</v>
      </c>
      <c r="K30" s="447"/>
      <c r="L30" s="447"/>
      <c r="M30" s="447"/>
      <c r="N30" s="447"/>
    </row>
    <row r="31" spans="1:22" ht="13.5" thickBot="1" x14ac:dyDescent="0.25">
      <c r="A31" s="678" t="s">
        <v>359</v>
      </c>
      <c r="B31" s="679"/>
      <c r="C31" s="679"/>
      <c r="D31" s="679"/>
      <c r="E31" s="679"/>
      <c r="F31" s="679"/>
      <c r="G31" s="680"/>
      <c r="H31" s="681">
        <v>0</v>
      </c>
      <c r="I31" s="682"/>
      <c r="J31" s="683">
        <v>0</v>
      </c>
      <c r="K31" s="684"/>
      <c r="L31" s="684"/>
      <c r="M31" s="684"/>
      <c r="N31" s="684"/>
    </row>
    <row r="32" spans="1:22" ht="13.5" thickTop="1" x14ac:dyDescent="0.2"/>
    <row r="34" spans="1:14" ht="13.5" thickBot="1" x14ac:dyDescent="0.25"/>
    <row r="35" spans="1:14" ht="14.25" thickTop="1" thickBot="1" x14ac:dyDescent="0.25">
      <c r="A35" s="468" t="s">
        <v>366</v>
      </c>
      <c r="B35" s="469"/>
      <c r="C35" s="469"/>
      <c r="D35" s="469"/>
      <c r="E35" s="469"/>
      <c r="F35" s="469"/>
      <c r="G35" s="469"/>
      <c r="H35" s="469"/>
      <c r="I35" s="469"/>
      <c r="J35" s="469"/>
      <c r="K35" s="469"/>
      <c r="L35" s="469"/>
      <c r="M35" s="469"/>
      <c r="N35" s="469"/>
    </row>
    <row r="36" spans="1:14" x14ac:dyDescent="0.2">
      <c r="A36" s="470" t="s">
        <v>16</v>
      </c>
      <c r="B36" s="459"/>
      <c r="C36" s="685" t="s">
        <v>17</v>
      </c>
      <c r="D36" s="459"/>
      <c r="E36" s="685" t="s">
        <v>18</v>
      </c>
      <c r="F36" s="459"/>
      <c r="G36" s="685" t="s">
        <v>19</v>
      </c>
      <c r="H36" s="459"/>
      <c r="I36" s="685" t="s">
        <v>20</v>
      </c>
      <c r="J36" s="459"/>
      <c r="K36" s="685" t="s">
        <v>21</v>
      </c>
      <c r="L36" s="459"/>
      <c r="M36" s="308" t="s">
        <v>22</v>
      </c>
      <c r="N36" s="456"/>
    </row>
    <row r="37" spans="1:14" x14ac:dyDescent="0.2">
      <c r="A37" s="463" t="s">
        <v>81</v>
      </c>
      <c r="B37" s="464"/>
      <c r="C37" s="463" t="s">
        <v>368</v>
      </c>
      <c r="D37" s="464"/>
      <c r="E37" s="463" t="s">
        <v>82</v>
      </c>
      <c r="F37" s="464"/>
      <c r="G37" s="463" t="s">
        <v>371</v>
      </c>
      <c r="H37" s="464"/>
      <c r="I37" s="463" t="s">
        <v>29</v>
      </c>
      <c r="J37" s="464"/>
      <c r="K37" s="463" t="s">
        <v>378</v>
      </c>
      <c r="L37" s="464"/>
      <c r="M37" s="467" t="s">
        <v>83</v>
      </c>
      <c r="N37" s="484"/>
    </row>
    <row r="38" spans="1:14" x14ac:dyDescent="0.2">
      <c r="A38" s="465"/>
      <c r="B38" s="466"/>
      <c r="C38" s="465"/>
      <c r="D38" s="466"/>
      <c r="E38" s="465"/>
      <c r="F38" s="466"/>
      <c r="G38" s="465"/>
      <c r="H38" s="466"/>
      <c r="I38" s="465"/>
      <c r="J38" s="466"/>
      <c r="K38" s="465"/>
      <c r="L38" s="466"/>
      <c r="M38" s="466"/>
      <c r="N38" s="485"/>
    </row>
    <row r="39" spans="1:14" ht="15.75" x14ac:dyDescent="0.3">
      <c r="A39" s="462" t="s">
        <v>367</v>
      </c>
      <c r="B39" s="403"/>
      <c r="C39" s="462" t="s">
        <v>369</v>
      </c>
      <c r="D39" s="403"/>
      <c r="E39" s="462" t="s">
        <v>370</v>
      </c>
      <c r="F39" s="403"/>
      <c r="G39" s="462" t="s">
        <v>372</v>
      </c>
      <c r="H39" s="403"/>
      <c r="I39" s="462" t="s">
        <v>374</v>
      </c>
      <c r="J39" s="403"/>
      <c r="K39" s="462" t="s">
        <v>376</v>
      </c>
      <c r="L39" s="403"/>
      <c r="M39" s="401" t="s">
        <v>379</v>
      </c>
      <c r="N39" s="402"/>
    </row>
    <row r="40" spans="1:14" x14ac:dyDescent="0.2">
      <c r="A40" s="488" t="s">
        <v>591</v>
      </c>
      <c r="B40" s="283"/>
      <c r="C40" s="488" t="s">
        <v>592</v>
      </c>
      <c r="D40" s="283"/>
      <c r="E40" s="488" t="s">
        <v>593</v>
      </c>
      <c r="F40" s="283"/>
      <c r="G40" s="488" t="s">
        <v>373</v>
      </c>
      <c r="H40" s="283"/>
      <c r="I40" s="488" t="s">
        <v>375</v>
      </c>
      <c r="J40" s="283"/>
      <c r="K40" s="488" t="s">
        <v>377</v>
      </c>
      <c r="L40" s="283"/>
      <c r="M40" s="461" t="s">
        <v>380</v>
      </c>
      <c r="N40" s="677"/>
    </row>
    <row r="41" spans="1:14" ht="13.5" thickBot="1" x14ac:dyDescent="0.25">
      <c r="A41" s="480">
        <f>IF(J9="3ST",IF(J15=0,1,IF(J15=1,'Reference Tables (Intersection)'!AB9,'Reference Tables (Intersection)'!AC9)),IF(J9="4ST",IF(J15=0,1,IF(J15=1,'Reference Tables (Intersection)'!AB11,'Reference Tables (Intersection)'!AC11)),IF(J18=0,1,IF(J18=1,VLOOKUP(J9,'Reference Tables (Intersection)'!Y10:AE12,4,FALSE),IF(J18=2,VLOOKUP(J9,'Reference Tables (Intersection)'!Y10:AE12,5,FALSE),IF(J18=3,VLOOKUP(J9,'Reference Tables (Intersection)'!Y10:AE12,6,FALSE),VLOOKUP(J9,'Reference Tables (Intersection)'!Y10:AE12,7,FALSE)))))))</f>
        <v>1</v>
      </c>
      <c r="B41" s="481"/>
      <c r="C41" s="480">
        <f>IF($J$9="3ST",1,IF($J$9="4ST",1,T9))</f>
        <v>1</v>
      </c>
      <c r="D41" s="481"/>
      <c r="E41" s="480">
        <f>IF(J9="3ST",POWER(0.86,J16),IF(J9="4ST",POWER(0.86,J16),POWER(0.96,J19)))</f>
        <v>1</v>
      </c>
      <c r="F41" s="481"/>
      <c r="G41" s="480">
        <f>IF($J$9="3ST",1,IF(J$9="4ST",1,POWER(0.98,$J$25)))</f>
        <v>1</v>
      </c>
      <c r="H41" s="481"/>
      <c r="I41" s="480">
        <f>IF($J$12="Not Present",1,(1-(IF('Reference Tables (Intersection)'!$C$81="No",VLOOKUP($J$9,'Reference Tables (Intersection)'!$B$84:$G$87,3,FALSE),VLOOKUP($J$9,'Reference Tables (Intersection)'!$B$84:$G$87,5,FALSE)))*0.38))</f>
        <v>1</v>
      </c>
      <c r="J41" s="676"/>
      <c r="K41" s="480">
        <f>IF($J$26="Not Present",1,$T$22)</f>
        <v>1</v>
      </c>
      <c r="L41" s="676"/>
      <c r="M41" s="405">
        <f>+A41*C41*E41*G41*I41*K41</f>
        <v>1</v>
      </c>
      <c r="N41" s="482"/>
    </row>
    <row r="43" spans="1:14" x14ac:dyDescent="0.2">
      <c r="A43" s="483"/>
      <c r="B43" s="410"/>
      <c r="E43" s="28"/>
      <c r="F43" s="29"/>
    </row>
    <row r="44" spans="1:14" ht="13.5" thickBot="1" x14ac:dyDescent="0.25"/>
    <row r="45" spans="1:14" ht="14.25" thickTop="1" thickBot="1" x14ac:dyDescent="0.25">
      <c r="A45" s="309" t="s">
        <v>381</v>
      </c>
      <c r="B45" s="358"/>
      <c r="C45" s="358"/>
      <c r="D45" s="358"/>
      <c r="E45" s="358"/>
      <c r="F45" s="358"/>
      <c r="G45" s="358"/>
      <c r="H45" s="358"/>
      <c r="I45" s="358"/>
      <c r="J45" s="408"/>
      <c r="K45" s="408"/>
      <c r="L45" s="408"/>
      <c r="M45" s="408"/>
      <c r="N45" s="408"/>
    </row>
    <row r="46" spans="1:14" x14ac:dyDescent="0.2">
      <c r="A46" s="322" t="s">
        <v>16</v>
      </c>
      <c r="B46" s="323"/>
      <c r="C46" s="567" t="s">
        <v>17</v>
      </c>
      <c r="D46" s="673"/>
      <c r="E46" s="674"/>
      <c r="F46" s="675" t="s">
        <v>18</v>
      </c>
      <c r="G46" s="674"/>
      <c r="H46" s="218" t="s">
        <v>19</v>
      </c>
      <c r="I46" s="360" t="s">
        <v>20</v>
      </c>
      <c r="J46" s="323"/>
      <c r="K46" s="2" t="s">
        <v>21</v>
      </c>
      <c r="L46" s="100" t="s">
        <v>22</v>
      </c>
      <c r="M46" s="100" t="s">
        <v>23</v>
      </c>
      <c r="N46" s="215" t="s">
        <v>24</v>
      </c>
    </row>
    <row r="47" spans="1:14" x14ac:dyDescent="0.2">
      <c r="A47" s="475" t="s">
        <v>32</v>
      </c>
      <c r="B47" s="476"/>
      <c r="C47" s="663" t="s">
        <v>88</v>
      </c>
      <c r="D47" s="664"/>
      <c r="E47" s="665"/>
      <c r="F47" s="669" t="s">
        <v>33</v>
      </c>
      <c r="G47" s="665"/>
      <c r="H47" s="670" t="s">
        <v>382</v>
      </c>
      <c r="I47" s="339" t="s">
        <v>214</v>
      </c>
      <c r="J47" s="390"/>
      <c r="K47" s="486" t="s">
        <v>384</v>
      </c>
      <c r="L47" s="339" t="s">
        <v>34</v>
      </c>
      <c r="M47" s="339" t="s">
        <v>108</v>
      </c>
      <c r="N47" s="656" t="s">
        <v>385</v>
      </c>
    </row>
    <row r="48" spans="1:14" x14ac:dyDescent="0.2">
      <c r="A48" s="477"/>
      <c r="B48" s="477"/>
      <c r="C48" s="666"/>
      <c r="D48" s="667"/>
      <c r="E48" s="668"/>
      <c r="F48" s="666"/>
      <c r="G48" s="668"/>
      <c r="H48" s="466"/>
      <c r="I48" s="390"/>
      <c r="J48" s="390"/>
      <c r="K48" s="352"/>
      <c r="L48" s="352"/>
      <c r="M48" s="352"/>
      <c r="N48" s="656"/>
    </row>
    <row r="49" spans="1:14" x14ac:dyDescent="0.2">
      <c r="A49" s="477"/>
      <c r="B49" s="477"/>
      <c r="C49" s="438" t="s">
        <v>594</v>
      </c>
      <c r="D49" s="657"/>
      <c r="E49" s="332"/>
      <c r="F49" s="640" t="s">
        <v>594</v>
      </c>
      <c r="G49" s="665"/>
      <c r="H49" s="646" t="s">
        <v>520</v>
      </c>
      <c r="I49" s="390"/>
      <c r="J49" s="390"/>
      <c r="K49" s="349" t="s">
        <v>218</v>
      </c>
      <c r="L49" s="407" t="s">
        <v>393</v>
      </c>
      <c r="M49" s="353"/>
      <c r="N49" s="658" t="s">
        <v>220</v>
      </c>
    </row>
    <row r="50" spans="1:14" x14ac:dyDescent="0.2">
      <c r="A50" s="478"/>
      <c r="B50" s="478"/>
      <c r="C50" s="102" t="s">
        <v>89</v>
      </c>
      <c r="D50" s="102" t="s">
        <v>90</v>
      </c>
      <c r="E50" s="102" t="s">
        <v>383</v>
      </c>
      <c r="F50" s="666"/>
      <c r="G50" s="668"/>
      <c r="H50" s="466"/>
      <c r="I50" s="390"/>
      <c r="J50" s="390"/>
      <c r="K50" s="306"/>
      <c r="L50" s="352"/>
      <c r="M50" s="353"/>
      <c r="N50" s="659"/>
    </row>
    <row r="51" spans="1:14" x14ac:dyDescent="0.2">
      <c r="A51" s="332" t="s">
        <v>35</v>
      </c>
      <c r="B51" s="357"/>
      <c r="C51" s="12">
        <f>VLOOKUP($J$9,'Reference Tables (Intersection)'!$B$9:$F$12,2,FALSE)</f>
        <v>-13.36</v>
      </c>
      <c r="D51" s="12">
        <f>VLOOKUP($J$9,'Reference Tables (Intersection)'!$B$9:$F$12,3,FALSE)</f>
        <v>1.1100000000000001</v>
      </c>
      <c r="E51" s="12">
        <f>VLOOKUP($J$9,'Reference Tables (Intersection)'!$B$9:$F$12,4,FALSE)</f>
        <v>0.41</v>
      </c>
      <c r="F51" s="493">
        <f>VLOOKUP($J$9,'Reference Tables (Intersection)'!$B$9:$F$12,5,FALSE)</f>
        <v>0.8</v>
      </c>
      <c r="G51" s="494"/>
      <c r="H51" s="219">
        <f>EXP(C51+(D51*LN($J$10))+(E51*LN($J$11)))</f>
        <v>3.0507275466616073E-6</v>
      </c>
      <c r="I51" s="318">
        <v>1</v>
      </c>
      <c r="J51" s="319"/>
      <c r="K51" s="3">
        <f>H51*I51</f>
        <v>3.0507275466616073E-6</v>
      </c>
      <c r="L51" s="12">
        <f>+M41</f>
        <v>1</v>
      </c>
      <c r="M51" s="12">
        <f>+$J$13</f>
        <v>1</v>
      </c>
      <c r="N51" s="216">
        <f>+K51*L51*M51</f>
        <v>3.0507275466616073E-6</v>
      </c>
    </row>
    <row r="52" spans="1:14" ht="15.75" x14ac:dyDescent="0.3">
      <c r="A52" s="393" t="s">
        <v>36</v>
      </c>
      <c r="B52" s="393"/>
      <c r="C52" s="363">
        <f>VLOOKUP($J$9,'Reference Tables (Intersection)'!$B$14:$F$17,2,FALSE)</f>
        <v>-14.01</v>
      </c>
      <c r="D52" s="363">
        <f>VLOOKUP($J$9,'Reference Tables (Intersection)'!$B$14:$F$17,3,FALSE)</f>
        <v>1.1599999999999999</v>
      </c>
      <c r="E52" s="363">
        <f>VLOOKUP($J$9,'Reference Tables (Intersection)'!$B$14:$F$17,4,FALSE)</f>
        <v>0.3</v>
      </c>
      <c r="F52" s="371">
        <f>VLOOKUP($J$9,'Reference Tables (Intersection)'!$B$14:$F$17,5,FALSE)</f>
        <v>0.69</v>
      </c>
      <c r="G52" s="372"/>
      <c r="H52" s="661">
        <f>EXP(C52+(D52*LN($J$10))+(E52*LN($J$11)))</f>
        <v>1.3342134359969688E-6</v>
      </c>
      <c r="I52" s="379" t="s">
        <v>221</v>
      </c>
      <c r="J52" s="315"/>
      <c r="K52" s="361">
        <f>H51*I53</f>
        <v>2.2493226153007515E-6</v>
      </c>
      <c r="L52" s="363">
        <f>+M41</f>
        <v>1</v>
      </c>
      <c r="M52" s="363">
        <f>+$J$13</f>
        <v>1</v>
      </c>
      <c r="N52" s="637">
        <f>+K52*L52*M52</f>
        <v>2.2493226153007515E-6</v>
      </c>
    </row>
    <row r="53" spans="1:14" x14ac:dyDescent="0.2">
      <c r="A53" s="394"/>
      <c r="B53" s="394"/>
      <c r="C53" s="364"/>
      <c r="D53" s="364"/>
      <c r="E53" s="364"/>
      <c r="F53" s="395"/>
      <c r="G53" s="396"/>
      <c r="H53" s="662"/>
      <c r="I53" s="318">
        <f>+H52/(H52+H54)</f>
        <v>0.73730694757130044</v>
      </c>
      <c r="J53" s="319"/>
      <c r="K53" s="362"/>
      <c r="L53" s="364"/>
      <c r="M53" s="364"/>
      <c r="N53" s="639"/>
    </row>
    <row r="54" spans="1:14" ht="15.75" x14ac:dyDescent="0.3">
      <c r="A54" s="307" t="s">
        <v>37</v>
      </c>
      <c r="B54" s="367"/>
      <c r="C54" s="363">
        <f>VLOOKUP($J$9,'Reference Tables (Intersection)'!$B$19:$F$22,2,FALSE)</f>
        <v>-15.38</v>
      </c>
      <c r="D54" s="363">
        <f>VLOOKUP($J$9,'Reference Tables (Intersection)'!$B$19:$F$22,3,FALSE)</f>
        <v>1.2</v>
      </c>
      <c r="E54" s="363">
        <f>VLOOKUP($J$9,'Reference Tables (Intersection)'!$B$19:$F$22,4,FALSE)</f>
        <v>0.51</v>
      </c>
      <c r="F54" s="371">
        <f>VLOOKUP($J$9,'Reference Tables (Intersection)'!$B$19:$F$22,5,FALSE)</f>
        <v>0.77</v>
      </c>
      <c r="G54" s="372"/>
      <c r="H54" s="661">
        <f>EXP(C54+(D54*LN($J$10))+(E54*LN($J$11)))</f>
        <v>4.7536321371708422E-7</v>
      </c>
      <c r="I54" s="379" t="s">
        <v>222</v>
      </c>
      <c r="J54" s="315"/>
      <c r="K54" s="361">
        <f>H51*I55</f>
        <v>8.0140493136085558E-7</v>
      </c>
      <c r="L54" s="363">
        <f>+M41</f>
        <v>1</v>
      </c>
      <c r="M54" s="363">
        <f>+$J$13</f>
        <v>1</v>
      </c>
      <c r="N54" s="637">
        <f>+K54*L54*M54</f>
        <v>8.0140493136085558E-7</v>
      </c>
    </row>
    <row r="55" spans="1:14" ht="13.5" thickBot="1" x14ac:dyDescent="0.25">
      <c r="A55" s="368"/>
      <c r="B55" s="369"/>
      <c r="C55" s="370"/>
      <c r="D55" s="370"/>
      <c r="E55" s="370"/>
      <c r="F55" s="373"/>
      <c r="G55" s="374"/>
      <c r="H55" s="650"/>
      <c r="I55" s="312">
        <f>I51-I53</f>
        <v>0.26269305242869956</v>
      </c>
      <c r="J55" s="313"/>
      <c r="K55" s="380"/>
      <c r="L55" s="370"/>
      <c r="M55" s="370"/>
      <c r="N55" s="638"/>
    </row>
    <row r="58" spans="1:14" ht="13.5" thickBot="1" x14ac:dyDescent="0.25"/>
    <row r="59" spans="1:14" ht="14.25" thickTop="1" thickBot="1" x14ac:dyDescent="0.25">
      <c r="A59" s="309" t="s">
        <v>386</v>
      </c>
      <c r="B59" s="358"/>
      <c r="C59" s="358"/>
      <c r="D59" s="358"/>
      <c r="E59" s="358"/>
      <c r="F59" s="358"/>
      <c r="G59" s="358"/>
      <c r="H59" s="358"/>
      <c r="I59" s="359"/>
      <c r="J59" s="359"/>
      <c r="K59" s="359"/>
      <c r="L59" s="359"/>
      <c r="M59" s="359"/>
      <c r="N59" s="359"/>
    </row>
    <row r="60" spans="1:14" x14ac:dyDescent="0.2">
      <c r="A60" s="322" t="s">
        <v>16</v>
      </c>
      <c r="B60" s="323"/>
      <c r="C60" s="323"/>
      <c r="D60" s="360" t="s">
        <v>17</v>
      </c>
      <c r="E60" s="350"/>
      <c r="F60" s="360" t="s">
        <v>18</v>
      </c>
      <c r="G60" s="360"/>
      <c r="H60" s="278" t="s">
        <v>19</v>
      </c>
      <c r="I60" s="350"/>
      <c r="J60" s="360" t="s">
        <v>20</v>
      </c>
      <c r="K60" s="360"/>
      <c r="L60" s="278" t="s">
        <v>21</v>
      </c>
      <c r="M60" s="350"/>
      <c r="N60" s="351"/>
    </row>
    <row r="61" spans="1:14" x14ac:dyDescent="0.2">
      <c r="A61" s="495" t="s">
        <v>38</v>
      </c>
      <c r="B61" s="339"/>
      <c r="C61" s="333"/>
      <c r="D61" s="281" t="s">
        <v>39</v>
      </c>
      <c r="E61" s="341"/>
      <c r="F61" s="281" t="s">
        <v>387</v>
      </c>
      <c r="G61" s="281"/>
      <c r="H61" s="281" t="s">
        <v>249</v>
      </c>
      <c r="I61" s="341"/>
      <c r="J61" s="281" t="s">
        <v>389</v>
      </c>
      <c r="K61" s="281"/>
      <c r="L61" s="281" t="s">
        <v>390</v>
      </c>
      <c r="M61" s="281"/>
      <c r="N61" s="340"/>
    </row>
    <row r="62" spans="1:14" x14ac:dyDescent="0.2">
      <c r="A62" s="495"/>
      <c r="B62" s="339"/>
      <c r="C62" s="333"/>
      <c r="D62" s="341"/>
      <c r="E62" s="341"/>
      <c r="F62" s="341"/>
      <c r="G62" s="341"/>
      <c r="H62" s="341"/>
      <c r="I62" s="341"/>
      <c r="J62" s="341"/>
      <c r="K62" s="341"/>
      <c r="L62" s="341"/>
      <c r="M62" s="341"/>
      <c r="N62" s="340"/>
    </row>
    <row r="63" spans="1:14" x14ac:dyDescent="0.2">
      <c r="A63" s="336"/>
      <c r="B63" s="315"/>
      <c r="C63" s="333"/>
      <c r="D63" s="341"/>
      <c r="E63" s="341"/>
      <c r="F63" s="341"/>
      <c r="G63" s="341"/>
      <c r="H63" s="341"/>
      <c r="I63" s="341"/>
      <c r="J63" s="341"/>
      <c r="K63" s="341"/>
      <c r="L63" s="341"/>
      <c r="M63" s="341"/>
      <c r="N63" s="340"/>
    </row>
    <row r="64" spans="1:14" x14ac:dyDescent="0.2">
      <c r="A64" s="336"/>
      <c r="B64" s="315"/>
      <c r="C64" s="333"/>
      <c r="D64" s="349" t="s">
        <v>595</v>
      </c>
      <c r="E64" s="333"/>
      <c r="F64" s="355" t="s">
        <v>388</v>
      </c>
      <c r="G64" s="356"/>
      <c r="H64" s="349" t="s">
        <v>595</v>
      </c>
      <c r="I64" s="333"/>
      <c r="J64" s="355" t="s">
        <v>398</v>
      </c>
      <c r="K64" s="356"/>
      <c r="L64" s="355" t="s">
        <v>398</v>
      </c>
      <c r="M64" s="356"/>
      <c r="N64" s="357"/>
    </row>
    <row r="65" spans="1:14" x14ac:dyDescent="0.2">
      <c r="A65" s="336"/>
      <c r="B65" s="315"/>
      <c r="C65" s="333"/>
      <c r="D65" s="315"/>
      <c r="E65" s="333"/>
      <c r="F65" s="315"/>
      <c r="G65" s="315"/>
      <c r="H65" s="315"/>
      <c r="I65" s="333"/>
      <c r="J65" s="315"/>
      <c r="K65" s="315"/>
      <c r="L65" s="315"/>
      <c r="M65" s="315"/>
      <c r="N65" s="357"/>
    </row>
    <row r="66" spans="1:14" x14ac:dyDescent="0.2">
      <c r="A66" s="332" t="s">
        <v>35</v>
      </c>
      <c r="B66" s="333"/>
      <c r="C66" s="333"/>
      <c r="D66" s="320">
        <v>1</v>
      </c>
      <c r="E66" s="320"/>
      <c r="F66" s="321">
        <f>+N52</f>
        <v>2.2493226153007515E-6</v>
      </c>
      <c r="G66" s="334"/>
      <c r="H66" s="320">
        <v>1</v>
      </c>
      <c r="I66" s="320"/>
      <c r="J66" s="318">
        <f>+N54</f>
        <v>8.0140493136085558E-7</v>
      </c>
      <c r="K66" s="336"/>
      <c r="L66" s="321">
        <f>+N51</f>
        <v>3.0507275466616073E-6</v>
      </c>
      <c r="M66" s="337"/>
      <c r="N66" s="337"/>
    </row>
    <row r="67" spans="1:14" ht="15.75" x14ac:dyDescent="0.3">
      <c r="A67" s="332"/>
      <c r="B67" s="333"/>
      <c r="C67" s="333"/>
      <c r="D67" s="333"/>
      <c r="E67" s="333"/>
      <c r="F67" s="314" t="s">
        <v>240</v>
      </c>
      <c r="G67" s="315"/>
      <c r="H67" s="333"/>
      <c r="I67" s="333"/>
      <c r="J67" s="314" t="s">
        <v>241</v>
      </c>
      <c r="K67" s="315"/>
      <c r="L67" s="314" t="s">
        <v>242</v>
      </c>
      <c r="M67" s="315"/>
      <c r="N67" s="338"/>
    </row>
    <row r="68" spans="1:14" x14ac:dyDescent="0.2">
      <c r="A68" s="324" t="s">
        <v>42</v>
      </c>
      <c r="B68" s="333"/>
      <c r="C68" s="333"/>
      <c r="D68" s="318">
        <f>IF('Reference Tables (Intersection)'!$C$33="No", HLOOKUP($J$9,'Reference Tables (Intersection)'!$B$35:$K$41,3,FALSE),HLOOKUP($J$9,'Reference Tables (Intersection)'!$B$44:$K$50,3,FALSE))</f>
        <v>0.42099999999999999</v>
      </c>
      <c r="E68" s="319"/>
      <c r="F68" s="318">
        <f>+D68*$F$66</f>
        <v>9.4696482104161639E-7</v>
      </c>
      <c r="G68" s="319"/>
      <c r="H68" s="318">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0.44</v>
      </c>
      <c r="I68" s="319"/>
      <c r="J68" s="318">
        <f>+H68*$J$66</f>
        <v>3.5261816979877644E-7</v>
      </c>
      <c r="K68" s="319"/>
      <c r="L68" s="320">
        <f>+F68+J68</f>
        <v>1.2995829908403928E-6</v>
      </c>
      <c r="M68" s="320"/>
      <c r="N68" s="321"/>
    </row>
    <row r="69" spans="1:14" x14ac:dyDescent="0.2">
      <c r="A69" s="335" t="s">
        <v>41</v>
      </c>
      <c r="B69" s="333"/>
      <c r="C69" s="333"/>
      <c r="D69" s="318">
        <f>IF('Reference Tables (Intersection)'!$C$33="No", HLOOKUP($J$9,'Reference Tables (Intersection)'!$B$35:$K$41,4,FALSE),HLOOKUP($J$9,'Reference Tables (Intersection)'!$B$44:$K$50,4,FALSE))</f>
        <v>4.4999999999999998E-2</v>
      </c>
      <c r="E69" s="319"/>
      <c r="F69" s="318">
        <f>+D69*$F$66</f>
        <v>1.0121951768853381E-7</v>
      </c>
      <c r="G69" s="319"/>
      <c r="H69" s="318">
        <f>IF('Reference Tables (Intersection)'!$C$33="No",IF($J$9="3ST",'Reference Tables (Intersection)'!E38,IF($J$9="3SG",'Reference Tables (Intersection)'!G38,IF($J$9="4ST",'Reference Tables (Intersection)'!I38,'Reference Tables (Intersection)'!K38))),IF($J$9="3ST",'Reference Tables (Intersection)'!E47,IF($J$9="3SG",'Reference Tables (Intersection)'!G47,IF($J$9="4ST",'Reference Tables (Intersection)'!I47,'Reference Tables (Intersection)'!K47))))</f>
        <v>2.3E-2</v>
      </c>
      <c r="I69" s="319"/>
      <c r="J69" s="318">
        <f>+H69*$J$66</f>
        <v>1.8432313421299679E-8</v>
      </c>
      <c r="K69" s="319"/>
      <c r="L69" s="320">
        <f>+F69+J69</f>
        <v>1.1965183110983348E-7</v>
      </c>
      <c r="M69" s="320"/>
      <c r="N69" s="321"/>
    </row>
    <row r="70" spans="1:14" x14ac:dyDescent="0.2">
      <c r="A70" s="335" t="s">
        <v>40</v>
      </c>
      <c r="B70" s="333"/>
      <c r="C70" s="333"/>
      <c r="D70" s="318">
        <f>IF('Reference Tables (Intersection)'!$C$33="No", HLOOKUP($J$9,'Reference Tables (Intersection)'!$B$35:$K$41,5,FALSE),HLOOKUP($J$9,'Reference Tables (Intersection)'!$B$44:$K$50,5,FALSE))</f>
        <v>0.34300000000000003</v>
      </c>
      <c r="E70" s="319"/>
      <c r="F70" s="318">
        <f>+D70*$F$66</f>
        <v>7.7151765704815789E-7</v>
      </c>
      <c r="G70" s="319"/>
      <c r="H70" s="318">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0.26200000000000001</v>
      </c>
      <c r="I70" s="319"/>
      <c r="J70" s="318">
        <f>+H70*$J$66</f>
        <v>2.0996809201654418E-7</v>
      </c>
      <c r="K70" s="319"/>
      <c r="L70" s="320">
        <f>+F70+J70</f>
        <v>9.8148574906470201E-7</v>
      </c>
      <c r="M70" s="320"/>
      <c r="N70" s="321"/>
    </row>
    <row r="71" spans="1:14" x14ac:dyDescent="0.2">
      <c r="A71" s="335" t="s">
        <v>95</v>
      </c>
      <c r="B71" s="333"/>
      <c r="C71" s="333"/>
      <c r="D71" s="318">
        <f>IF('Reference Tables (Intersection)'!$C$33="No", HLOOKUP($J$9,'Reference Tables (Intersection)'!$B$35:$K$41,6,FALSE),HLOOKUP($J$9,'Reference Tables (Intersection)'!$B$44:$K$50,6,FALSE))</f>
        <v>0.126</v>
      </c>
      <c r="E71" s="319"/>
      <c r="F71" s="318">
        <f>+D71*$F$66</f>
        <v>2.834146495278947E-7</v>
      </c>
      <c r="G71" s="319"/>
      <c r="H71" s="318">
        <f>IF('Reference Tables (Intersection)'!$C$33="No",IF($J$9="3ST",'Reference Tables (Intersection)'!E40,IF($J$9="3SG",'Reference Tables (Intersection)'!G40,IF($J$9="4ST",'Reference Tables (Intersection)'!I40,'Reference Tables (Intersection)'!K40))),IF($J$9="3ST",'Reference Tables (Intersection)'!E49,IF($J$9="3SG",'Reference Tables (Intersection)'!G49,IF($J$9="4ST",'Reference Tables (Intersection)'!I49,'Reference Tables (Intersection)'!K49))))</f>
        <v>0.04</v>
      </c>
      <c r="I71" s="319"/>
      <c r="J71" s="318">
        <f>+H71*$J$66</f>
        <v>3.2056197254434224E-8</v>
      </c>
      <c r="K71" s="319"/>
      <c r="L71" s="320">
        <f>+F71+J71</f>
        <v>3.1547084678232895E-7</v>
      </c>
      <c r="M71" s="320"/>
      <c r="N71" s="321"/>
    </row>
    <row r="72" spans="1:14" ht="13.5" thickBot="1" x14ac:dyDescent="0.25">
      <c r="A72" s="310" t="s">
        <v>248</v>
      </c>
      <c r="B72" s="311"/>
      <c r="C72" s="311"/>
      <c r="D72" s="312">
        <f>IF('Reference Tables (Intersection)'!$C$33="No", HLOOKUP($J$9,'Reference Tables (Intersection)'!$B$35:$K$41,7,FALSE),HLOOKUP($J$9,'Reference Tables (Intersection)'!$B$44:$K$50,7,FALSE))</f>
        <v>6.5000000000000002E-2</v>
      </c>
      <c r="E72" s="313"/>
      <c r="F72" s="312">
        <f>+D72*$F$66</f>
        <v>1.4620596999454884E-7</v>
      </c>
      <c r="G72" s="313"/>
      <c r="H72" s="312">
        <f>IF('Reference Tables (Intersection)'!$C$33="No",IF($J$9="3ST",'Reference Tables (Intersection)'!E41,IF($J$9="3SG",'Reference Tables (Intersection)'!G41,IF($J$9="4ST",'Reference Tables (Intersection)'!I41,'Reference Tables (Intersection)'!K41))),IF($J$9="3ST",'Reference Tables (Intersection)'!E50,IF($J$9="3SG",'Reference Tables (Intersection)'!G50,IF($J$9="4ST",'Reference Tables (Intersection)'!I50,'Reference Tables (Intersection)'!K50))))</f>
        <v>0.23499999999999999</v>
      </c>
      <c r="I72" s="313"/>
      <c r="J72" s="312">
        <f>+H72*$J$66</f>
        <v>1.8833015886980104E-7</v>
      </c>
      <c r="K72" s="313"/>
      <c r="L72" s="316">
        <f>+F72+J72</f>
        <v>3.3453612886434991E-7</v>
      </c>
      <c r="M72" s="316"/>
      <c r="N72" s="317"/>
    </row>
    <row r="73" spans="1:14" ht="12.75" customHeight="1" x14ac:dyDescent="0.2"/>
    <row r="75" spans="1:14" ht="13.5" thickBot="1" x14ac:dyDescent="0.25"/>
    <row r="76" spans="1:14" ht="14.25" thickTop="1" thickBot="1" x14ac:dyDescent="0.25">
      <c r="A76" s="309" t="s">
        <v>391</v>
      </c>
      <c r="B76" s="358"/>
      <c r="C76" s="358"/>
      <c r="D76" s="358"/>
      <c r="E76" s="358"/>
      <c r="F76" s="358"/>
      <c r="G76" s="358"/>
      <c r="H76" s="358"/>
      <c r="I76" s="358"/>
      <c r="J76" s="408"/>
      <c r="K76" s="408"/>
      <c r="L76" s="408"/>
      <c r="M76" s="408"/>
      <c r="N76" s="408"/>
    </row>
    <row r="77" spans="1:14" x14ac:dyDescent="0.2">
      <c r="A77" s="322" t="s">
        <v>16</v>
      </c>
      <c r="B77" s="323"/>
      <c r="C77" s="567" t="s">
        <v>17</v>
      </c>
      <c r="D77" s="673"/>
      <c r="E77" s="674"/>
      <c r="F77" s="675" t="s">
        <v>18</v>
      </c>
      <c r="G77" s="674"/>
      <c r="H77" s="218" t="s">
        <v>19</v>
      </c>
      <c r="I77" s="360" t="s">
        <v>20</v>
      </c>
      <c r="J77" s="323"/>
      <c r="K77" s="2" t="s">
        <v>21</v>
      </c>
      <c r="L77" s="100" t="s">
        <v>22</v>
      </c>
      <c r="M77" s="100" t="s">
        <v>23</v>
      </c>
      <c r="N77" s="215" t="s">
        <v>24</v>
      </c>
    </row>
    <row r="78" spans="1:14" x14ac:dyDescent="0.2">
      <c r="A78" s="292" t="s">
        <v>32</v>
      </c>
      <c r="B78" s="617"/>
      <c r="C78" s="663" t="s">
        <v>88</v>
      </c>
      <c r="D78" s="664"/>
      <c r="E78" s="665"/>
      <c r="F78" s="669" t="s">
        <v>33</v>
      </c>
      <c r="G78" s="665"/>
      <c r="H78" s="670" t="s">
        <v>392</v>
      </c>
      <c r="I78" s="339" t="s">
        <v>214</v>
      </c>
      <c r="J78" s="390"/>
      <c r="K78" s="486" t="s">
        <v>384</v>
      </c>
      <c r="L78" s="339" t="s">
        <v>34</v>
      </c>
      <c r="M78" s="339" t="s">
        <v>108</v>
      </c>
      <c r="N78" s="656" t="s">
        <v>394</v>
      </c>
    </row>
    <row r="79" spans="1:14" x14ac:dyDescent="0.2">
      <c r="A79" s="671"/>
      <c r="B79" s="498"/>
      <c r="C79" s="666"/>
      <c r="D79" s="667"/>
      <c r="E79" s="668"/>
      <c r="F79" s="666"/>
      <c r="G79" s="668"/>
      <c r="H79" s="466"/>
      <c r="I79" s="390"/>
      <c r="J79" s="390"/>
      <c r="K79" s="352"/>
      <c r="L79" s="352"/>
      <c r="M79" s="352"/>
      <c r="N79" s="656"/>
    </row>
    <row r="80" spans="1:14" x14ac:dyDescent="0.2">
      <c r="A80" s="671"/>
      <c r="B80" s="498"/>
      <c r="C80" s="438" t="s">
        <v>596</v>
      </c>
      <c r="D80" s="657"/>
      <c r="E80" s="332"/>
      <c r="F80" s="640" t="s">
        <v>596</v>
      </c>
      <c r="G80" s="641"/>
      <c r="H80" s="646" t="s">
        <v>521</v>
      </c>
      <c r="I80" s="390"/>
      <c r="J80" s="390"/>
      <c r="K80" s="349" t="s">
        <v>218</v>
      </c>
      <c r="L80" s="407" t="s">
        <v>393</v>
      </c>
      <c r="M80" s="353"/>
      <c r="N80" s="658" t="s">
        <v>220</v>
      </c>
    </row>
    <row r="81" spans="1:14" x14ac:dyDescent="0.2">
      <c r="A81" s="618"/>
      <c r="B81" s="498"/>
      <c r="C81" s="507" t="s">
        <v>89</v>
      </c>
      <c r="D81" s="507" t="s">
        <v>90</v>
      </c>
      <c r="E81" s="507" t="s">
        <v>383</v>
      </c>
      <c r="F81" s="642"/>
      <c r="G81" s="643"/>
      <c r="H81" s="647"/>
      <c r="I81" s="390"/>
      <c r="J81" s="390"/>
      <c r="K81" s="306"/>
      <c r="L81" s="352"/>
      <c r="M81" s="353"/>
      <c r="N81" s="659"/>
    </row>
    <row r="82" spans="1:14" x14ac:dyDescent="0.2">
      <c r="A82" s="619"/>
      <c r="B82" s="500"/>
      <c r="C82" s="672"/>
      <c r="D82" s="672"/>
      <c r="E82" s="672"/>
      <c r="F82" s="644"/>
      <c r="G82" s="645"/>
      <c r="H82" s="648"/>
      <c r="I82" s="161"/>
      <c r="J82" s="168"/>
      <c r="K82" s="158"/>
      <c r="L82" s="159"/>
      <c r="M82" s="160"/>
      <c r="N82" s="217"/>
    </row>
    <row r="83" spans="1:14" x14ac:dyDescent="0.2">
      <c r="A83" s="332" t="s">
        <v>35</v>
      </c>
      <c r="B83" s="357"/>
      <c r="C83" s="12">
        <f>VLOOKUP($J$9,'Reference Tables (Intersection)'!$I$9:$M$12,2,FALSE)</f>
        <v>-6.81</v>
      </c>
      <c r="D83" s="12">
        <f>VLOOKUP($J$9,'Reference Tables (Intersection)'!$I$9:$M$12,3,FALSE)</f>
        <v>0.16</v>
      </c>
      <c r="E83" s="12">
        <f>VLOOKUP($J$9,'Reference Tables (Intersection)'!$I$9:$M$12,4,FALSE)</f>
        <v>0.51</v>
      </c>
      <c r="F83" s="545">
        <f>VLOOKUP($J$9,'Reference Tables (Intersection)'!$I$9:$M$12,5,FALSE)</f>
        <v>1.1399999999999999</v>
      </c>
      <c r="G83" s="332"/>
      <c r="H83" s="219">
        <f>EXP(C83+(D83*LN($J$10))+(E83*LN($J$11)))</f>
        <v>2.5057011969865394E-3</v>
      </c>
      <c r="I83" s="318">
        <v>1</v>
      </c>
      <c r="J83" s="319"/>
      <c r="K83" s="3">
        <f>H83*I83</f>
        <v>2.5057011969865394E-3</v>
      </c>
      <c r="L83" s="12">
        <f>+M41</f>
        <v>1</v>
      </c>
      <c r="M83" s="12">
        <f>+$J$13</f>
        <v>1</v>
      </c>
      <c r="N83" s="216">
        <f>+K83*L83*M83</f>
        <v>2.5057011969865394E-3</v>
      </c>
    </row>
    <row r="84" spans="1:14" ht="15.75" x14ac:dyDescent="0.3">
      <c r="A84" s="393" t="s">
        <v>36</v>
      </c>
      <c r="B84" s="393"/>
      <c r="C84" s="363" t="str">
        <f>VLOOKUP($J$9,'Reference Tables (Intersection)'!$I$14:$M$17,2,FALSE)</f>
        <v>--</v>
      </c>
      <c r="D84" s="363" t="str">
        <f>VLOOKUP($J$9,'Reference Tables (Intersection)'!$I$14:$M$17,3,FALSE)</f>
        <v>--</v>
      </c>
      <c r="E84" s="363" t="str">
        <f>VLOOKUP($J$9,'Reference Tables (Intersection)'!$I$14:$M$17,4,FALSE)</f>
        <v>--</v>
      </c>
      <c r="F84" s="652" t="str">
        <f>VLOOKUP($J$9,'Reference Tables (Intersection)'!$I$14:$M$17,5,FALSE)</f>
        <v>--</v>
      </c>
      <c r="G84" s="653"/>
      <c r="H84" s="661">
        <f>IF(J9="3ST",H83*0.31,IF(J9="4ST",H83*0.28,(EXP(C84+(D84*LN($J$10))+(E84*LN($J$11))))))</f>
        <v>7.7676737106582719E-4</v>
      </c>
      <c r="I84" s="379" t="s">
        <v>221</v>
      </c>
      <c r="J84" s="315"/>
      <c r="K84" s="361">
        <f>H83*I85</f>
        <v>1.4482164165947487E-3</v>
      </c>
      <c r="L84" s="363">
        <f>+M41</f>
        <v>1</v>
      </c>
      <c r="M84" s="363">
        <f>+$J$13</f>
        <v>1</v>
      </c>
      <c r="N84" s="637">
        <f>+K84*L84*M84</f>
        <v>1.4482164165947487E-3</v>
      </c>
    </row>
    <row r="85" spans="1:14" x14ac:dyDescent="0.2">
      <c r="A85" s="394"/>
      <c r="B85" s="394"/>
      <c r="C85" s="364"/>
      <c r="D85" s="364"/>
      <c r="E85" s="364"/>
      <c r="F85" s="536"/>
      <c r="G85" s="660"/>
      <c r="H85" s="662"/>
      <c r="I85" s="318">
        <f>+H84/(H84+H86)</f>
        <v>0.57796852168025226</v>
      </c>
      <c r="J85" s="319"/>
      <c r="K85" s="362"/>
      <c r="L85" s="364"/>
      <c r="M85" s="364"/>
      <c r="N85" s="639"/>
    </row>
    <row r="86" spans="1:14" ht="15.75" x14ac:dyDescent="0.3">
      <c r="A86" s="307" t="s">
        <v>37</v>
      </c>
      <c r="B86" s="367"/>
      <c r="C86" s="651">
        <f>VLOOKUP($J$9,'Reference Tables (Intersection)'!$I$19:$M$22,2,FALSE)</f>
        <v>-8.36</v>
      </c>
      <c r="D86" s="363">
        <f>VLOOKUP($J$9,'Reference Tables (Intersection)'!$I$19:$M$22,3,FALSE)</f>
        <v>0.25</v>
      </c>
      <c r="E86" s="363">
        <f>VLOOKUP($J$9,'Reference Tables (Intersection)'!$I$19:$M$22,4,FALSE)</f>
        <v>0.55000000000000004</v>
      </c>
      <c r="F86" s="652">
        <f>VLOOKUP($J$9,'Reference Tables (Intersection)'!$I$19:$M$22,5,FALSE)</f>
        <v>1.29</v>
      </c>
      <c r="G86" s="653"/>
      <c r="H86" s="649">
        <f>EXP(C86+(D86*LN($J$10))+(E86*LN($J$11)))</f>
        <v>5.671940073283335E-4</v>
      </c>
      <c r="I86" s="379" t="s">
        <v>222</v>
      </c>
      <c r="J86" s="315"/>
      <c r="K86" s="361">
        <f>H83*I87</f>
        <v>1.0574847803917907E-3</v>
      </c>
      <c r="L86" s="363">
        <f>+M41</f>
        <v>1</v>
      </c>
      <c r="M86" s="363">
        <f>+$J$13</f>
        <v>1</v>
      </c>
      <c r="N86" s="637">
        <f>+K86*L86*M86</f>
        <v>1.0574847803917907E-3</v>
      </c>
    </row>
    <row r="87" spans="1:14" ht="13.5" thickBot="1" x14ac:dyDescent="0.25">
      <c r="A87" s="368"/>
      <c r="B87" s="369"/>
      <c r="C87" s="370"/>
      <c r="D87" s="370"/>
      <c r="E87" s="370"/>
      <c r="F87" s="654"/>
      <c r="G87" s="655"/>
      <c r="H87" s="650"/>
      <c r="I87" s="312">
        <f>I83-I85</f>
        <v>0.42203147831974774</v>
      </c>
      <c r="J87" s="313"/>
      <c r="K87" s="380"/>
      <c r="L87" s="370"/>
      <c r="M87" s="370"/>
      <c r="N87" s="638"/>
    </row>
    <row r="89" spans="1:14" x14ac:dyDescent="0.2">
      <c r="F89" s="113"/>
      <c r="G89" s="15"/>
    </row>
    <row r="90" spans="1:14" ht="13.5" thickBot="1" x14ac:dyDescent="0.25"/>
    <row r="91" spans="1:14" ht="14.25" thickTop="1" thickBot="1" x14ac:dyDescent="0.25">
      <c r="A91" s="309" t="s">
        <v>395</v>
      </c>
      <c r="B91" s="358"/>
      <c r="C91" s="358"/>
      <c r="D91" s="358"/>
      <c r="E91" s="358"/>
      <c r="F91" s="358"/>
      <c r="G91" s="358"/>
      <c r="H91" s="358"/>
      <c r="I91" s="359"/>
      <c r="J91" s="359"/>
      <c r="K91" s="359"/>
      <c r="L91" s="359"/>
      <c r="M91" s="359"/>
      <c r="N91" s="359"/>
    </row>
    <row r="92" spans="1:14" x14ac:dyDescent="0.2">
      <c r="A92" s="322" t="s">
        <v>16</v>
      </c>
      <c r="B92" s="323"/>
      <c r="C92" s="323"/>
      <c r="D92" s="360" t="s">
        <v>17</v>
      </c>
      <c r="E92" s="350"/>
      <c r="F92" s="360" t="s">
        <v>18</v>
      </c>
      <c r="G92" s="360"/>
      <c r="H92" s="278" t="s">
        <v>19</v>
      </c>
      <c r="I92" s="350"/>
      <c r="J92" s="360" t="s">
        <v>20</v>
      </c>
      <c r="K92" s="360"/>
      <c r="L92" s="278" t="s">
        <v>21</v>
      </c>
      <c r="M92" s="350"/>
      <c r="N92" s="351"/>
    </row>
    <row r="93" spans="1:14" x14ac:dyDescent="0.2">
      <c r="A93" s="495" t="s">
        <v>38</v>
      </c>
      <c r="B93" s="339"/>
      <c r="C93" s="333"/>
      <c r="D93" s="281" t="s">
        <v>39</v>
      </c>
      <c r="E93" s="341"/>
      <c r="F93" s="281" t="s">
        <v>403</v>
      </c>
      <c r="G93" s="281"/>
      <c r="H93" s="281" t="s">
        <v>249</v>
      </c>
      <c r="I93" s="341"/>
      <c r="J93" s="281" t="s">
        <v>402</v>
      </c>
      <c r="K93" s="281"/>
      <c r="L93" s="281" t="s">
        <v>401</v>
      </c>
      <c r="M93" s="281"/>
      <c r="N93" s="340"/>
    </row>
    <row r="94" spans="1:14" x14ac:dyDescent="0.2">
      <c r="A94" s="495"/>
      <c r="B94" s="339"/>
      <c r="C94" s="333"/>
      <c r="D94" s="341"/>
      <c r="E94" s="341"/>
      <c r="F94" s="341"/>
      <c r="G94" s="341"/>
      <c r="H94" s="341"/>
      <c r="I94" s="341"/>
      <c r="J94" s="341"/>
      <c r="K94" s="341"/>
      <c r="L94" s="341"/>
      <c r="M94" s="341"/>
      <c r="N94" s="340"/>
    </row>
    <row r="95" spans="1:14" x14ac:dyDescent="0.2">
      <c r="A95" s="336"/>
      <c r="B95" s="315"/>
      <c r="C95" s="333"/>
      <c r="D95" s="341"/>
      <c r="E95" s="341"/>
      <c r="F95" s="341"/>
      <c r="G95" s="341"/>
      <c r="H95" s="341"/>
      <c r="I95" s="341"/>
      <c r="J95" s="341"/>
      <c r="K95" s="341"/>
      <c r="L95" s="341"/>
      <c r="M95" s="341"/>
      <c r="N95" s="340"/>
    </row>
    <row r="96" spans="1:14" x14ac:dyDescent="0.2">
      <c r="A96" s="336"/>
      <c r="B96" s="315"/>
      <c r="C96" s="333"/>
      <c r="D96" s="349" t="s">
        <v>597</v>
      </c>
      <c r="E96" s="333"/>
      <c r="F96" s="355" t="s">
        <v>399</v>
      </c>
      <c r="G96" s="356"/>
      <c r="H96" s="349" t="s">
        <v>597</v>
      </c>
      <c r="I96" s="333"/>
      <c r="J96" s="355" t="s">
        <v>400</v>
      </c>
      <c r="K96" s="356"/>
      <c r="L96" s="355" t="s">
        <v>400</v>
      </c>
      <c r="M96" s="356"/>
      <c r="N96" s="357"/>
    </row>
    <row r="97" spans="1:14" x14ac:dyDescent="0.2">
      <c r="A97" s="336"/>
      <c r="B97" s="315"/>
      <c r="C97" s="333"/>
      <c r="D97" s="315"/>
      <c r="E97" s="333"/>
      <c r="F97" s="315"/>
      <c r="G97" s="315"/>
      <c r="H97" s="315"/>
      <c r="I97" s="333"/>
      <c r="J97" s="315"/>
      <c r="K97" s="315"/>
      <c r="L97" s="315"/>
      <c r="M97" s="315"/>
      <c r="N97" s="357"/>
    </row>
    <row r="98" spans="1:14" x14ac:dyDescent="0.2">
      <c r="A98" s="332" t="s">
        <v>35</v>
      </c>
      <c r="B98" s="333"/>
      <c r="C98" s="333"/>
      <c r="D98" s="320">
        <v>1</v>
      </c>
      <c r="E98" s="320"/>
      <c r="F98" s="321">
        <f>+N84</f>
        <v>1.4482164165947487E-3</v>
      </c>
      <c r="G98" s="334"/>
      <c r="H98" s="320">
        <v>1</v>
      </c>
      <c r="I98" s="320"/>
      <c r="J98" s="318">
        <f>+N86</f>
        <v>1.0574847803917907E-3</v>
      </c>
      <c r="K98" s="336"/>
      <c r="L98" s="321">
        <f>+N83</f>
        <v>2.5057011969865394E-3</v>
      </c>
      <c r="M98" s="337"/>
      <c r="N98" s="337"/>
    </row>
    <row r="99" spans="1:14" ht="13.5" customHeight="1" x14ac:dyDescent="0.3">
      <c r="A99" s="332"/>
      <c r="B99" s="333"/>
      <c r="C99" s="333"/>
      <c r="D99" s="333"/>
      <c r="E99" s="333"/>
      <c r="F99" s="314" t="s">
        <v>240</v>
      </c>
      <c r="G99" s="315"/>
      <c r="H99" s="333"/>
      <c r="I99" s="333"/>
      <c r="J99" s="314" t="s">
        <v>241</v>
      </c>
      <c r="K99" s="315"/>
      <c r="L99" s="314" t="s">
        <v>242</v>
      </c>
      <c r="M99" s="315"/>
      <c r="N99" s="338"/>
    </row>
    <row r="100" spans="1:14" ht="13.5" customHeight="1" x14ac:dyDescent="0.2">
      <c r="A100" s="324" t="s">
        <v>396</v>
      </c>
      <c r="B100" s="333"/>
      <c r="C100" s="333"/>
      <c r="D100" s="318">
        <f>IF('Reference Tables (Intersection)'!$C$56="No", HLOOKUP($J$9,'Reference Tables (Intersection)'!$B$58:$K$65,3,FALSE),HLOOKUP($J$9,'Reference Tables (Intersection)'!$B$68:$K$75,3,FALSE))</f>
        <v>1E-3</v>
      </c>
      <c r="E100" s="319"/>
      <c r="F100" s="318">
        <f t="shared" ref="F100:F105" si="0">+D100*$F$98</f>
        <v>1.4482164165947488E-6</v>
      </c>
      <c r="G100" s="319"/>
      <c r="H100" s="318">
        <f>IF('Reference Tables (Intersection)'!$C$56="No",IF($J$9="3ST",'Reference Tables (Intersection)'!E60,IF($J$9="3SG",'Reference Tables (Intersection)'!G60,IF($J$9="4ST",'Reference Tables (Intersection)'!I60,'Reference Tables (Intersection)'!K60))),IF($J$9="3ST",'Reference Tables (Intersection)'!E70,IF($J$9="3SG",'Reference Tables (Intersection)'!G70,IF($J$9="4ST",'Reference Tables (Intersection)'!I70,'Reference Tables (Intersection)'!K70))))</f>
        <v>3.0000000000000001E-3</v>
      </c>
      <c r="I100" s="319"/>
      <c r="J100" s="318">
        <f t="shared" ref="J100:J105" si="1">+H100*$J$98</f>
        <v>3.1724543411753722E-6</v>
      </c>
      <c r="K100" s="319"/>
      <c r="L100" s="320">
        <f t="shared" ref="L100:L105" si="2">+F100+J100</f>
        <v>4.6206707577701209E-6</v>
      </c>
      <c r="M100" s="320"/>
      <c r="N100" s="321"/>
    </row>
    <row r="101" spans="1:14" ht="13.5" customHeight="1" x14ac:dyDescent="0.2">
      <c r="A101" s="335" t="s">
        <v>257</v>
      </c>
      <c r="B101" s="333"/>
      <c r="C101" s="333"/>
      <c r="D101" s="318">
        <f>IF('Reference Tables (Intersection)'!$C$56="No", HLOOKUP($J$9,'Reference Tables (Intersection)'!$B$58:$K$65,4,FALSE),HLOOKUP($J$9,'Reference Tables (Intersection)'!$B$68:$K$75,4,FALSE))</f>
        <v>3.0000000000000001E-3</v>
      </c>
      <c r="E101" s="319"/>
      <c r="F101" s="318">
        <f t="shared" si="0"/>
        <v>4.3446492497842459E-6</v>
      </c>
      <c r="G101" s="319"/>
      <c r="H101" s="318">
        <f>IF('Reference Tables (Intersection)'!$C$56="No",IF($J$9="3ST",'Reference Tables (Intersection)'!E61,IF($J$9="3SG",'Reference Tables (Intersection)'!G61,IF($J$9="4ST",'Reference Tables (Intersection)'!I61,'Reference Tables (Intersection)'!K61))),IF($J$9="3ST",'Reference Tables (Intersection)'!E71,IF($J$9="3SG",'Reference Tables (Intersection)'!G71,IF($J$9="4ST",'Reference Tables (Intersection)'!I71,'Reference Tables (Intersection)'!K71))))</f>
        <v>1.7999999999999999E-2</v>
      </c>
      <c r="I101" s="319"/>
      <c r="J101" s="318">
        <f t="shared" si="1"/>
        <v>1.903472604705223E-5</v>
      </c>
      <c r="K101" s="319"/>
      <c r="L101" s="320">
        <f t="shared" si="2"/>
        <v>2.3379375296836476E-5</v>
      </c>
      <c r="M101" s="320"/>
      <c r="N101" s="321"/>
    </row>
    <row r="102" spans="1:14" ht="13.5" customHeight="1" x14ac:dyDescent="0.2">
      <c r="A102" s="335" t="s">
        <v>258</v>
      </c>
      <c r="B102" s="333"/>
      <c r="C102" s="333"/>
      <c r="D102" s="318">
        <f>IF('Reference Tables (Intersection)'!$C$56="No", HLOOKUP($J$9,'Reference Tables (Intersection)'!$B$58:$K$65,5,FALSE),HLOOKUP($J$9,'Reference Tables (Intersection)'!$B$68:$K$75,5,FALSE))</f>
        <v>0.76200000000000001</v>
      </c>
      <c r="E102" s="319"/>
      <c r="F102" s="318">
        <f t="shared" si="0"/>
        <v>1.1035409094451985E-3</v>
      </c>
      <c r="G102" s="319"/>
      <c r="H102" s="318">
        <f>IF('Reference Tables (Intersection)'!$C$56="No",IF($J$9="3ST",'Reference Tables (Intersection)'!E62,IF($J$9="3SG",'Reference Tables (Intersection)'!G62,IF($J$9="4ST",'Reference Tables (Intersection)'!I62,'Reference Tables (Intersection)'!K62))),IF($J$9="3ST",'Reference Tables (Intersection)'!E72,IF($J$9="3SG",'Reference Tables (Intersection)'!G72,IF($J$9="4ST",'Reference Tables (Intersection)'!I72,'Reference Tables (Intersection)'!K72))))</f>
        <v>0.83409999999999995</v>
      </c>
      <c r="I102" s="319"/>
      <c r="J102" s="318">
        <f t="shared" si="1"/>
        <v>8.8204805532479257E-4</v>
      </c>
      <c r="K102" s="319"/>
      <c r="L102" s="320">
        <f t="shared" si="2"/>
        <v>1.9855889647699913E-3</v>
      </c>
      <c r="M102" s="320"/>
      <c r="N102" s="321"/>
    </row>
    <row r="103" spans="1:14" ht="13.5" customHeight="1" x14ac:dyDescent="0.2">
      <c r="A103" s="335" t="s">
        <v>259</v>
      </c>
      <c r="B103" s="333"/>
      <c r="C103" s="333"/>
      <c r="D103" s="318">
        <f>IF('Reference Tables (Intersection)'!$C$56="No", HLOOKUP($J$9,'Reference Tables (Intersection)'!$B$58:$K$65,6,FALSE),HLOOKUP($J$9,'Reference Tables (Intersection)'!$B$68:$K$75,6,FALSE))</f>
        <v>0.09</v>
      </c>
      <c r="E103" s="319"/>
      <c r="F103" s="318">
        <f t="shared" si="0"/>
        <v>1.3033947749352737E-4</v>
      </c>
      <c r="G103" s="319"/>
      <c r="H103" s="318">
        <f>IF('Reference Tables (Intersection)'!$C$56="No",IF($J$9="3ST",'Reference Tables (Intersection)'!E63,IF($J$9="3SG",'Reference Tables (Intersection)'!G63,IF($J$9="4ST",'Reference Tables (Intersection)'!I63,'Reference Tables (Intersection)'!K63))),IF($J$9="3ST",'Reference Tables (Intersection)'!E73,IF($J$9="3SG",'Reference Tables (Intersection)'!G73,IF($J$9="4ST",'Reference Tables (Intersection)'!I73,'Reference Tables (Intersection)'!K73))))</f>
        <v>9.1999999999999998E-2</v>
      </c>
      <c r="I103" s="319"/>
      <c r="J103" s="318">
        <f t="shared" si="1"/>
        <v>9.7288599796044748E-5</v>
      </c>
      <c r="K103" s="319"/>
      <c r="L103" s="320">
        <f t="shared" si="2"/>
        <v>2.276280772895721E-4</v>
      </c>
      <c r="M103" s="320"/>
      <c r="N103" s="321"/>
    </row>
    <row r="104" spans="1:14" x14ac:dyDescent="0.2">
      <c r="A104" s="335" t="s">
        <v>260</v>
      </c>
      <c r="B104" s="333"/>
      <c r="C104" s="333"/>
      <c r="D104" s="318">
        <f>IF('Reference Tables (Intersection)'!$C$56="No", HLOOKUP($J$9,'Reference Tables (Intersection)'!$B$58:$K$65,7,FALSE),HLOOKUP($J$9,'Reference Tables (Intersection)'!$B$68:$K$75,7,FALSE))</f>
        <v>3.9E-2</v>
      </c>
      <c r="E104" s="319"/>
      <c r="F104" s="318">
        <f t="shared" si="0"/>
        <v>5.64804402471952E-5</v>
      </c>
      <c r="G104" s="319"/>
      <c r="H104" s="318">
        <f>IF('Reference Tables (Intersection)'!$C$56="No",IF($J$9="3ST",'Reference Tables (Intersection)'!E64,IF($J$9="3SG",'Reference Tables (Intersection)'!G64,IF($J$9="4ST",'Reference Tables (Intersection)'!I64,'Reference Tables (Intersection)'!K64))),IF($J$9="3ST",'Reference Tables (Intersection)'!E74,IF($J$9="3SG",'Reference Tables (Intersection)'!G74,IF($J$9="4ST",'Reference Tables (Intersection)'!I74,'Reference Tables (Intersection)'!K74))))</f>
        <v>2.3E-2</v>
      </c>
      <c r="I104" s="319"/>
      <c r="J104" s="318">
        <f t="shared" si="1"/>
        <v>2.4322149949011187E-5</v>
      </c>
      <c r="K104" s="319"/>
      <c r="L104" s="320">
        <f t="shared" si="2"/>
        <v>8.0802590196206391E-5</v>
      </c>
      <c r="M104" s="320"/>
      <c r="N104" s="321"/>
    </row>
    <row r="105" spans="1:14" ht="13.5" thickBot="1" x14ac:dyDescent="0.25">
      <c r="A105" s="310" t="s">
        <v>397</v>
      </c>
      <c r="B105" s="311"/>
      <c r="C105" s="311"/>
      <c r="D105" s="312">
        <f>IF('Reference Tables (Intersection)'!$C$56="No", HLOOKUP($J$9,'Reference Tables (Intersection)'!$B$58:$K$65,8,FALSE),HLOOKUP($J$9,'Reference Tables (Intersection)'!$B$68:$K$75,8,FALSE))</f>
        <v>0.105</v>
      </c>
      <c r="E105" s="313"/>
      <c r="F105" s="312">
        <f t="shared" si="0"/>
        <v>1.520627237424486E-4</v>
      </c>
      <c r="G105" s="313"/>
      <c r="H105" s="312">
        <f>IF('Reference Tables (Intersection)'!$C$56="No",IF($J$9="3ST",'Reference Tables (Intersection)'!E65,IF($J$9="3SG",'Reference Tables (Intersection)'!G65,IF($J$9="4ST",'Reference Tables (Intersection)'!I65,'Reference Tables (Intersection)'!K65))),IF($J$9="3ST",'Reference Tables (Intersection)'!E75,IF($J$9="3SG",'Reference Tables (Intersection)'!G75,IF($J$9="4ST",'Reference Tables (Intersection)'!I75,'Reference Tables (Intersection)'!K75))))</f>
        <v>0.03</v>
      </c>
      <c r="I105" s="313"/>
      <c r="J105" s="312">
        <f t="shared" si="1"/>
        <v>3.1724543411753722E-5</v>
      </c>
      <c r="K105" s="313"/>
      <c r="L105" s="316">
        <f t="shared" si="2"/>
        <v>1.8378726715420233E-4</v>
      </c>
      <c r="M105" s="316"/>
      <c r="N105" s="317"/>
    </row>
    <row r="108" spans="1:14" ht="13.5" thickBot="1" x14ac:dyDescent="0.25"/>
    <row r="109" spans="1:14" ht="14.25" thickTop="1" thickBot="1" x14ac:dyDescent="0.25">
      <c r="A109" s="309" t="s">
        <v>404</v>
      </c>
      <c r="B109" s="358"/>
      <c r="C109" s="358"/>
      <c r="D109" s="358"/>
      <c r="E109" s="358"/>
      <c r="F109" s="358"/>
      <c r="G109" s="358"/>
      <c r="H109" s="358"/>
      <c r="I109" s="359"/>
      <c r="J109" s="359"/>
      <c r="K109" s="359"/>
      <c r="L109" s="359"/>
      <c r="M109" s="359"/>
      <c r="N109" s="359"/>
    </row>
    <row r="110" spans="1:14" x14ac:dyDescent="0.2">
      <c r="A110" s="322" t="s">
        <v>16</v>
      </c>
      <c r="B110" s="323"/>
      <c r="C110" s="323"/>
      <c r="D110" s="278" t="s">
        <v>17</v>
      </c>
      <c r="E110" s="278"/>
      <c r="F110" s="278" t="s">
        <v>18</v>
      </c>
      <c r="G110" s="278"/>
      <c r="H110" s="100" t="s">
        <v>19</v>
      </c>
      <c r="I110" s="278" t="s">
        <v>20</v>
      </c>
      <c r="J110" s="278"/>
      <c r="K110" s="278" t="s">
        <v>21</v>
      </c>
      <c r="L110" s="278"/>
      <c r="M110" s="308" t="s">
        <v>22</v>
      </c>
      <c r="N110" s="552"/>
    </row>
    <row r="111" spans="1:14" ht="12.75" customHeight="1" x14ac:dyDescent="0.2">
      <c r="A111" s="305" t="s">
        <v>32</v>
      </c>
      <c r="B111" s="306"/>
      <c r="C111" s="306"/>
      <c r="D111" s="630" t="s">
        <v>385</v>
      </c>
      <c r="E111" s="630"/>
      <c r="F111" s="630" t="s">
        <v>394</v>
      </c>
      <c r="G111" s="630"/>
      <c r="H111" s="281" t="s">
        <v>407</v>
      </c>
      <c r="I111" s="281" t="s">
        <v>409</v>
      </c>
      <c r="J111" s="281"/>
      <c r="K111" s="281" t="s">
        <v>410</v>
      </c>
      <c r="L111" s="281"/>
      <c r="M111" s="280" t="s">
        <v>411</v>
      </c>
      <c r="N111" s="608"/>
    </row>
    <row r="112" spans="1:14" x14ac:dyDescent="0.2">
      <c r="A112" s="307"/>
      <c r="B112" s="306"/>
      <c r="C112" s="306"/>
      <c r="D112" s="630"/>
      <c r="E112" s="630"/>
      <c r="F112" s="630"/>
      <c r="G112" s="630"/>
      <c r="H112" s="281"/>
      <c r="I112" s="281"/>
      <c r="J112" s="281"/>
      <c r="K112" s="281"/>
      <c r="L112" s="281"/>
      <c r="M112" s="280"/>
      <c r="N112" s="608"/>
    </row>
    <row r="113" spans="1:15" ht="12.75" customHeight="1" x14ac:dyDescent="0.2">
      <c r="A113" s="307"/>
      <c r="B113" s="306"/>
      <c r="C113" s="306"/>
      <c r="D113" s="349" t="s">
        <v>405</v>
      </c>
      <c r="E113" s="490"/>
      <c r="F113" s="349" t="s">
        <v>406</v>
      </c>
      <c r="G113" s="490"/>
      <c r="H113" s="349" t="s">
        <v>408</v>
      </c>
      <c r="I113" s="349" t="s">
        <v>598</v>
      </c>
      <c r="J113" s="333"/>
      <c r="K113" s="490"/>
      <c r="L113" s="490"/>
      <c r="M113" s="491" t="s">
        <v>289</v>
      </c>
      <c r="N113" s="564"/>
    </row>
    <row r="114" spans="1:15" x14ac:dyDescent="0.2">
      <c r="A114" s="307"/>
      <c r="B114" s="306"/>
      <c r="C114" s="306"/>
      <c r="D114" s="490"/>
      <c r="E114" s="490"/>
      <c r="F114" s="490"/>
      <c r="G114" s="490"/>
      <c r="H114" s="490"/>
      <c r="I114" s="315"/>
      <c r="J114" s="333"/>
      <c r="K114" s="490"/>
      <c r="L114" s="490"/>
      <c r="M114" s="492"/>
      <c r="N114" s="564"/>
    </row>
    <row r="115" spans="1:15" x14ac:dyDescent="0.2">
      <c r="A115" s="284" t="s">
        <v>35</v>
      </c>
      <c r="B115" s="285"/>
      <c r="C115" s="285"/>
      <c r="D115" s="318">
        <f>IF($J$9="3SG","--",IF($J$9="4SG","--",N51))</f>
        <v>3.0507275466616073E-6</v>
      </c>
      <c r="E115" s="336"/>
      <c r="F115" s="318">
        <f>IF($J$9="3SG","--",IF($J$9="4SG","--",N83))</f>
        <v>2.5057011969865394E-3</v>
      </c>
      <c r="G115" s="336"/>
      <c r="H115" s="171">
        <f>IF($J$9="3SG","--",IF($J$9="4SG","--",(D115+F115)))</f>
        <v>2.5087519245332009E-3</v>
      </c>
      <c r="I115" s="318">
        <f>IF($J$9="3ST",0.021,IF($J$9="4ST",0.022,"--"))</f>
        <v>2.1000000000000001E-2</v>
      </c>
      <c r="J115" s="319"/>
      <c r="K115" s="545">
        <f>+$J$13</f>
        <v>1</v>
      </c>
      <c r="L115" s="336"/>
      <c r="M115" s="382">
        <f>IF(J9="3SG","--",IF(J9="4SG","--",$H$115*$I$115*$K$115))</f>
        <v>5.2683790415197219E-5</v>
      </c>
      <c r="N115" s="625"/>
    </row>
    <row r="116" spans="1:15" ht="13.5" thickBot="1" x14ac:dyDescent="0.25">
      <c r="A116" s="287" t="s">
        <v>133</v>
      </c>
      <c r="B116" s="288"/>
      <c r="C116" s="288"/>
      <c r="D116" s="522" t="s">
        <v>14</v>
      </c>
      <c r="E116" s="523"/>
      <c r="F116" s="522" t="s">
        <v>14</v>
      </c>
      <c r="G116" s="523"/>
      <c r="H116" s="169" t="s">
        <v>14</v>
      </c>
      <c r="I116" s="522" t="s">
        <v>14</v>
      </c>
      <c r="J116" s="523"/>
      <c r="K116" s="531">
        <f>+$J$13</f>
        <v>1</v>
      </c>
      <c r="L116" s="523"/>
      <c r="M116" s="620">
        <f>+M115</f>
        <v>5.2683790415197219E-5</v>
      </c>
      <c r="N116" s="621"/>
    </row>
    <row r="119" spans="1:15" ht="13.5" thickBot="1" x14ac:dyDescent="0.25">
      <c r="M119" s="22"/>
      <c r="N119" s="22"/>
      <c r="O119" s="22"/>
    </row>
    <row r="120" spans="1:15" ht="14.25" thickTop="1" thickBot="1" x14ac:dyDescent="0.25">
      <c r="B120" s="626" t="s">
        <v>412</v>
      </c>
      <c r="C120" s="627"/>
      <c r="D120" s="627"/>
      <c r="E120" s="627"/>
      <c r="F120" s="627"/>
      <c r="G120" s="627"/>
      <c r="H120" s="627"/>
      <c r="I120" s="627"/>
      <c r="J120" s="627"/>
      <c r="K120" s="627"/>
      <c r="L120" s="627"/>
      <c r="M120" s="627"/>
      <c r="N120" s="124"/>
      <c r="O120" s="124"/>
    </row>
    <row r="121" spans="1:15" x14ac:dyDescent="0.2">
      <c r="B121" s="322" t="s">
        <v>16</v>
      </c>
      <c r="C121" s="323"/>
      <c r="D121" s="323"/>
      <c r="E121" s="489" t="s">
        <v>17</v>
      </c>
      <c r="F121" s="323"/>
      <c r="G121" s="323"/>
      <c r="H121" s="489" t="s">
        <v>18</v>
      </c>
      <c r="I121" s="323"/>
      <c r="J121" s="323"/>
      <c r="K121" s="489" t="s">
        <v>19</v>
      </c>
      <c r="L121" s="323"/>
      <c r="M121" s="323"/>
    </row>
    <row r="122" spans="1:15" x14ac:dyDescent="0.2">
      <c r="B122" s="628" t="s">
        <v>413</v>
      </c>
      <c r="C122" s="379"/>
      <c r="D122" s="379"/>
      <c r="E122" s="379" t="s">
        <v>414</v>
      </c>
      <c r="F122" s="379"/>
      <c r="G122" s="379"/>
      <c r="H122" s="379" t="s">
        <v>415</v>
      </c>
      <c r="I122" s="379"/>
      <c r="J122" s="379"/>
      <c r="K122" s="349" t="s">
        <v>83</v>
      </c>
      <c r="L122" s="349"/>
      <c r="M122" s="297"/>
    </row>
    <row r="123" spans="1:15" ht="15.75" x14ac:dyDescent="0.3">
      <c r="B123" s="628" t="s">
        <v>416</v>
      </c>
      <c r="C123" s="379"/>
      <c r="D123" s="379"/>
      <c r="E123" s="379" t="s">
        <v>417</v>
      </c>
      <c r="F123" s="379"/>
      <c r="G123" s="379"/>
      <c r="H123" s="379" t="s">
        <v>418</v>
      </c>
      <c r="I123" s="379"/>
      <c r="J123" s="379"/>
      <c r="K123" s="490"/>
      <c r="L123" s="490"/>
      <c r="M123" s="636"/>
    </row>
    <row r="124" spans="1:15" x14ac:dyDescent="0.2">
      <c r="B124" s="628" t="s">
        <v>599</v>
      </c>
      <c r="C124" s="379"/>
      <c r="D124" s="379"/>
      <c r="E124" s="379" t="s">
        <v>600</v>
      </c>
      <c r="F124" s="379"/>
      <c r="G124" s="379"/>
      <c r="H124" s="379" t="s">
        <v>601</v>
      </c>
      <c r="I124" s="379"/>
      <c r="J124" s="379"/>
      <c r="K124" s="379" t="s">
        <v>419</v>
      </c>
      <c r="L124" s="315"/>
      <c r="M124" s="338"/>
    </row>
    <row r="125" spans="1:15" ht="13.5" thickBot="1" x14ac:dyDescent="0.25">
      <c r="B125" s="629" t="str">
        <f>IF($J$9="3ST","--",IF($J$9="4ST","--",IF($J$29=0,1,IF($J$29&lt;3,2.78,4.15))))</f>
        <v>--</v>
      </c>
      <c r="C125" s="299"/>
      <c r="D125" s="299"/>
      <c r="E125" s="299" t="str">
        <f>IF($J$9="3ST","--",IF($J$9="4ST","--",IF($J$30="Present",1.35,1)))</f>
        <v>--</v>
      </c>
      <c r="F125" s="299"/>
      <c r="G125" s="299"/>
      <c r="H125" s="299" t="str">
        <f>IF(J9="3ST","--",IF(J9="4ST","--",IF(J31=0,1,IF(J31&lt;9,1.12,1.56))))</f>
        <v>--</v>
      </c>
      <c r="I125" s="299"/>
      <c r="J125" s="299"/>
      <c r="K125" s="299" t="str">
        <f>IF(J9="3ST","--",IF(J9="4ST","--",B125*E125*H125))</f>
        <v>--</v>
      </c>
      <c r="L125" s="299"/>
      <c r="M125" s="531"/>
    </row>
    <row r="128" spans="1:15" ht="13.5" thickBot="1" x14ac:dyDescent="0.25"/>
    <row r="129" spans="1:14" ht="14.25" thickTop="1" thickBot="1" x14ac:dyDescent="0.25">
      <c r="A129" s="309" t="s">
        <v>420</v>
      </c>
      <c r="B129" s="358"/>
      <c r="C129" s="358"/>
      <c r="D129" s="358"/>
      <c r="E129" s="358"/>
      <c r="F129" s="358"/>
      <c r="G129" s="358"/>
      <c r="H129" s="358"/>
      <c r="I129" s="359"/>
      <c r="J129" s="359"/>
      <c r="K129" s="359"/>
      <c r="L129" s="359"/>
      <c r="M129" s="359"/>
      <c r="N129" s="359"/>
    </row>
    <row r="130" spans="1:14" x14ac:dyDescent="0.2">
      <c r="A130" s="322" t="s">
        <v>16</v>
      </c>
      <c r="B130" s="351"/>
      <c r="C130" s="278" t="s">
        <v>17</v>
      </c>
      <c r="D130" s="278"/>
      <c r="E130" s="278"/>
      <c r="F130" s="278"/>
      <c r="G130" s="278"/>
      <c r="H130" s="100" t="s">
        <v>18</v>
      </c>
      <c r="I130" s="278" t="s">
        <v>19</v>
      </c>
      <c r="J130" s="278"/>
      <c r="K130" s="278" t="s">
        <v>20</v>
      </c>
      <c r="L130" s="278"/>
      <c r="M130" s="100" t="s">
        <v>21</v>
      </c>
      <c r="N130" s="220" t="s">
        <v>22</v>
      </c>
    </row>
    <row r="131" spans="1:14" ht="12.75" customHeight="1" x14ac:dyDescent="0.2">
      <c r="A131" s="633" t="s">
        <v>32</v>
      </c>
      <c r="B131" s="634"/>
      <c r="C131" s="389" t="s">
        <v>88</v>
      </c>
      <c r="D131" s="389"/>
      <c r="E131" s="389"/>
      <c r="F131" s="389"/>
      <c r="G131" s="389"/>
      <c r="H131" s="281" t="s">
        <v>33</v>
      </c>
      <c r="I131" s="281" t="s">
        <v>423</v>
      </c>
      <c r="J131" s="281"/>
      <c r="K131" s="281" t="s">
        <v>83</v>
      </c>
      <c r="L131" s="281"/>
      <c r="M131" s="281" t="s">
        <v>410</v>
      </c>
      <c r="N131" s="608" t="s">
        <v>608</v>
      </c>
    </row>
    <row r="132" spans="1:14" x14ac:dyDescent="0.2">
      <c r="A132" s="635"/>
      <c r="B132" s="346"/>
      <c r="C132" s="389"/>
      <c r="D132" s="389"/>
      <c r="E132" s="389"/>
      <c r="F132" s="389"/>
      <c r="G132" s="389"/>
      <c r="H132" s="281"/>
      <c r="I132" s="281"/>
      <c r="J132" s="281"/>
      <c r="K132" s="281"/>
      <c r="L132" s="281"/>
      <c r="M132" s="281"/>
      <c r="N132" s="608"/>
    </row>
    <row r="133" spans="1:14" x14ac:dyDescent="0.2">
      <c r="A133" s="635"/>
      <c r="B133" s="346"/>
      <c r="C133" s="379" t="s">
        <v>602</v>
      </c>
      <c r="D133" s="379"/>
      <c r="E133" s="379"/>
      <c r="F133" s="379"/>
      <c r="G133" s="379"/>
      <c r="H133" s="281"/>
      <c r="I133" s="349" t="s">
        <v>522</v>
      </c>
      <c r="J133" s="490"/>
      <c r="K133" s="349" t="s">
        <v>424</v>
      </c>
      <c r="L133" s="490"/>
      <c r="M133" s="281"/>
      <c r="N133" s="565" t="s">
        <v>289</v>
      </c>
    </row>
    <row r="134" spans="1:14" x14ac:dyDescent="0.2">
      <c r="A134" s="347"/>
      <c r="B134" s="347"/>
      <c r="C134" s="162" t="s">
        <v>89</v>
      </c>
      <c r="D134" s="162" t="s">
        <v>90</v>
      </c>
      <c r="E134" s="162" t="s">
        <v>383</v>
      </c>
      <c r="F134" s="102" t="s">
        <v>421</v>
      </c>
      <c r="G134" s="102" t="s">
        <v>422</v>
      </c>
      <c r="H134" s="281"/>
      <c r="I134" s="490"/>
      <c r="J134" s="490"/>
      <c r="K134" s="490"/>
      <c r="L134" s="490"/>
      <c r="M134" s="281"/>
      <c r="N134" s="564"/>
    </row>
    <row r="135" spans="1:14" x14ac:dyDescent="0.2">
      <c r="A135" s="332" t="s">
        <v>35</v>
      </c>
      <c r="B135" s="357"/>
      <c r="C135" s="12" t="str">
        <f>IF($J$9="3ST","--",IF($J$9="4ST","--",(VLOOKUP($J$9,'Reference Tables (Intersection)'!$P$9:$V$10,2,FALSE))))</f>
        <v>--</v>
      </c>
      <c r="D135" s="12" t="str">
        <f>IF($J$9="3ST","--",IF($J$9="4ST","--",(VLOOKUP($J$9,'Reference Tables (Intersection)'!$P$9:$V$10,3,FALSE))))</f>
        <v>--</v>
      </c>
      <c r="E135" s="12" t="str">
        <f>IF($J$9="3ST","--",IF($J$9="4ST","--",(VLOOKUP($J$9,'Reference Tables (Intersection)'!$P$9:$V$10,4,FALSE))))</f>
        <v>--</v>
      </c>
      <c r="F135" s="12" t="str">
        <f>IF($J$9="3ST","--",IF($J$9="4ST","--",(VLOOKUP($J$9,'Reference Tables (Intersection)'!$P$9:$V$10,5,FALSE))))</f>
        <v>--</v>
      </c>
      <c r="G135" s="12" t="str">
        <f>IF($J$9="3ST","--",IF($J$9="4ST","--",(VLOOKUP($J$9,'Reference Tables (Intersection)'!$P$9:$V$10,6,FALSE))))</f>
        <v>--</v>
      </c>
      <c r="H135" s="12" t="str">
        <f>IF($J$9="3ST","--",IF($J$9="4ST","--",(VLOOKUP($J$9,'Reference Tables (Intersection)'!$P$9:$V$10,7,FALSE))))</f>
        <v>--</v>
      </c>
      <c r="I135" s="318" t="str">
        <f>IF($J$9="3ST","--",IF($J$9="4ST","--",EXP(+$C135+($D135*LN($J$10+J$11))+(E$135*LN($J$11/$J$10))+(F$135*LN($J$27))+(G$135*$J$28))))</f>
        <v>--</v>
      </c>
      <c r="J135" s="319"/>
      <c r="K135" s="545" t="str">
        <f>+$K$125</f>
        <v>--</v>
      </c>
      <c r="L135" s="607"/>
      <c r="M135" s="12">
        <f>+$J$13</f>
        <v>1</v>
      </c>
      <c r="N135" s="221" t="str">
        <f>IF($J$9="3ST","--",IF($J$9="4ST","--",(I135*K135*M135)))</f>
        <v>--</v>
      </c>
    </row>
    <row r="136" spans="1:14" ht="13.5" thickBot="1" x14ac:dyDescent="0.25">
      <c r="A136" s="631" t="s">
        <v>36</v>
      </c>
      <c r="B136" s="632"/>
      <c r="C136" s="181" t="s">
        <v>14</v>
      </c>
      <c r="D136" s="181" t="s">
        <v>14</v>
      </c>
      <c r="E136" s="181" t="s">
        <v>14</v>
      </c>
      <c r="F136" s="181" t="s">
        <v>14</v>
      </c>
      <c r="G136" s="181" t="s">
        <v>14</v>
      </c>
      <c r="H136" s="181" t="s">
        <v>14</v>
      </c>
      <c r="I136" s="606" t="s">
        <v>14</v>
      </c>
      <c r="J136" s="313"/>
      <c r="K136" s="522" t="s">
        <v>14</v>
      </c>
      <c r="L136" s="523"/>
      <c r="M136" s="167">
        <f>+$J$13</f>
        <v>1</v>
      </c>
      <c r="N136" s="222" t="str">
        <f>N135</f>
        <v>--</v>
      </c>
    </row>
    <row r="139" spans="1:14" ht="13.5" thickBot="1" x14ac:dyDescent="0.25"/>
    <row r="140" spans="1:14" ht="14.25" thickTop="1" thickBot="1" x14ac:dyDescent="0.25">
      <c r="A140" s="626" t="s">
        <v>605</v>
      </c>
      <c r="B140" s="627"/>
      <c r="C140" s="627"/>
      <c r="D140" s="627"/>
      <c r="E140" s="627"/>
      <c r="F140" s="627"/>
      <c r="G140" s="627"/>
      <c r="H140" s="627"/>
      <c r="I140" s="627"/>
      <c r="J140" s="627"/>
      <c r="K140" s="627"/>
      <c r="L140" s="627"/>
      <c r="M140" s="408"/>
      <c r="N140" s="408"/>
    </row>
    <row r="141" spans="1:14" x14ac:dyDescent="0.2">
      <c r="A141" s="322" t="s">
        <v>16</v>
      </c>
      <c r="B141" s="323"/>
      <c r="C141" s="323"/>
      <c r="D141" s="278" t="s">
        <v>17</v>
      </c>
      <c r="E141" s="278"/>
      <c r="F141" s="278" t="s">
        <v>18</v>
      </c>
      <c r="G141" s="278"/>
      <c r="H141" s="100" t="s">
        <v>19</v>
      </c>
      <c r="I141" s="278" t="s">
        <v>20</v>
      </c>
      <c r="J141" s="278"/>
      <c r="K141" s="278" t="s">
        <v>21</v>
      </c>
      <c r="L141" s="278"/>
      <c r="M141" s="308" t="s">
        <v>22</v>
      </c>
      <c r="N141" s="552"/>
    </row>
    <row r="142" spans="1:14" ht="12.75" customHeight="1" x14ac:dyDescent="0.2">
      <c r="A142" s="305" t="s">
        <v>32</v>
      </c>
      <c r="B142" s="306"/>
      <c r="C142" s="306"/>
      <c r="D142" s="630" t="s">
        <v>385</v>
      </c>
      <c r="E142" s="630"/>
      <c r="F142" s="630" t="s">
        <v>394</v>
      </c>
      <c r="G142" s="630"/>
      <c r="H142" s="281" t="s">
        <v>407</v>
      </c>
      <c r="I142" s="281" t="s">
        <v>425</v>
      </c>
      <c r="J142" s="281"/>
      <c r="K142" s="281" t="s">
        <v>410</v>
      </c>
      <c r="L142" s="281"/>
      <c r="M142" s="280" t="s">
        <v>609</v>
      </c>
      <c r="N142" s="608"/>
    </row>
    <row r="143" spans="1:14" x14ac:dyDescent="0.2">
      <c r="A143" s="307"/>
      <c r="B143" s="306"/>
      <c r="C143" s="306"/>
      <c r="D143" s="630"/>
      <c r="E143" s="630"/>
      <c r="F143" s="630"/>
      <c r="G143" s="630"/>
      <c r="H143" s="281"/>
      <c r="I143" s="281"/>
      <c r="J143" s="281"/>
      <c r="K143" s="281"/>
      <c r="L143" s="281"/>
      <c r="M143" s="280"/>
      <c r="N143" s="608"/>
    </row>
    <row r="144" spans="1:14" x14ac:dyDescent="0.2">
      <c r="A144" s="307"/>
      <c r="B144" s="306"/>
      <c r="C144" s="306"/>
      <c r="D144" s="349" t="s">
        <v>405</v>
      </c>
      <c r="E144" s="490"/>
      <c r="F144" s="349" t="s">
        <v>406</v>
      </c>
      <c r="G144" s="490"/>
      <c r="H144" s="349" t="s">
        <v>408</v>
      </c>
      <c r="I144" s="349" t="s">
        <v>603</v>
      </c>
      <c r="J144" s="333"/>
      <c r="K144" s="490"/>
      <c r="L144" s="490"/>
      <c r="M144" s="491" t="s">
        <v>289</v>
      </c>
      <c r="N144" s="564"/>
    </row>
    <row r="145" spans="1:14" x14ac:dyDescent="0.2">
      <c r="A145" s="307"/>
      <c r="B145" s="306"/>
      <c r="C145" s="306"/>
      <c r="D145" s="490"/>
      <c r="E145" s="490"/>
      <c r="F145" s="490"/>
      <c r="G145" s="490"/>
      <c r="H145" s="490"/>
      <c r="I145" s="315"/>
      <c r="J145" s="333"/>
      <c r="K145" s="490"/>
      <c r="L145" s="490"/>
      <c r="M145" s="492"/>
      <c r="N145" s="564"/>
    </row>
    <row r="146" spans="1:14" x14ac:dyDescent="0.2">
      <c r="A146" s="284" t="s">
        <v>35</v>
      </c>
      <c r="B146" s="285"/>
      <c r="C146" s="285"/>
      <c r="D146" s="318">
        <f>+$N$51</f>
        <v>3.0507275466616073E-6</v>
      </c>
      <c r="E146" s="336"/>
      <c r="F146" s="524">
        <f>+$N$83</f>
        <v>2.5057011969865394E-3</v>
      </c>
      <c r="G146" s="524"/>
      <c r="H146" s="3">
        <f>+D146+F146</f>
        <v>2.5087519245332009E-3</v>
      </c>
      <c r="I146" s="623">
        <f>IF(J9="3ST",0.016,IF(J9="3SG",0.011,IF(J9="4ST",0.018,0.015)))</f>
        <v>1.6E-2</v>
      </c>
      <c r="J146" s="624"/>
      <c r="K146" s="545">
        <f>+$J$13</f>
        <v>1</v>
      </c>
      <c r="L146" s="336"/>
      <c r="M146" s="382">
        <f>+$H$146*$I$146*K146</f>
        <v>4.0140030792531216E-5</v>
      </c>
      <c r="N146" s="625"/>
    </row>
    <row r="147" spans="1:14" ht="13.5" thickBot="1" x14ac:dyDescent="0.25">
      <c r="A147" s="287" t="s">
        <v>133</v>
      </c>
      <c r="B147" s="288"/>
      <c r="C147" s="288"/>
      <c r="D147" s="522" t="s">
        <v>14</v>
      </c>
      <c r="E147" s="523"/>
      <c r="F147" s="522" t="s">
        <v>14</v>
      </c>
      <c r="G147" s="523"/>
      <c r="H147" s="169" t="s">
        <v>14</v>
      </c>
      <c r="I147" s="522" t="s">
        <v>14</v>
      </c>
      <c r="J147" s="523"/>
      <c r="K147" s="531">
        <f>+$J$13</f>
        <v>1</v>
      </c>
      <c r="L147" s="523"/>
      <c r="M147" s="620">
        <f>+$H$146*$I$146*K147</f>
        <v>4.0140030792531216E-5</v>
      </c>
      <c r="N147" s="621"/>
    </row>
    <row r="150" spans="1:14" ht="13.5" thickBot="1" x14ac:dyDescent="0.25"/>
    <row r="151" spans="1:14" ht="14.25" thickTop="1" thickBot="1" x14ac:dyDescent="0.25">
      <c r="A151" s="309" t="s">
        <v>426</v>
      </c>
      <c r="B151" s="358"/>
      <c r="C151" s="358"/>
      <c r="D151" s="358"/>
      <c r="E151" s="358"/>
      <c r="F151" s="358"/>
      <c r="G151" s="358"/>
      <c r="H151" s="358"/>
      <c r="I151" s="359"/>
      <c r="J151" s="359"/>
      <c r="K151" s="359"/>
      <c r="L151" s="359"/>
      <c r="M151" s="359"/>
      <c r="N151" s="359"/>
    </row>
    <row r="152" spans="1:14" x14ac:dyDescent="0.2">
      <c r="A152" s="504" t="s">
        <v>16</v>
      </c>
      <c r="B152" s="505"/>
      <c r="C152" s="505"/>
      <c r="D152" s="505"/>
      <c r="E152" s="505"/>
      <c r="F152" s="566" t="s">
        <v>17</v>
      </c>
      <c r="G152" s="566"/>
      <c r="H152" s="566"/>
      <c r="I152" s="566" t="s">
        <v>18</v>
      </c>
      <c r="J152" s="566"/>
      <c r="K152" s="566"/>
      <c r="L152" s="566" t="s">
        <v>19</v>
      </c>
      <c r="M152" s="566"/>
      <c r="N152" s="567"/>
    </row>
    <row r="153" spans="1:14" x14ac:dyDescent="0.2">
      <c r="A153" s="615" t="s">
        <v>51</v>
      </c>
      <c r="B153" s="616"/>
      <c r="C153" s="616"/>
      <c r="D153" s="616"/>
      <c r="E153" s="617"/>
      <c r="F153" s="575" t="s">
        <v>133</v>
      </c>
      <c r="G153" s="575"/>
      <c r="H153" s="575"/>
      <c r="I153" s="575" t="s">
        <v>134</v>
      </c>
      <c r="J153" s="575"/>
      <c r="K153" s="575"/>
      <c r="L153" s="575" t="s">
        <v>35</v>
      </c>
      <c r="M153" s="575"/>
      <c r="N153" s="581"/>
    </row>
    <row r="154" spans="1:14" x14ac:dyDescent="0.2">
      <c r="A154" s="618"/>
      <c r="B154" s="618"/>
      <c r="C154" s="618"/>
      <c r="D154" s="618"/>
      <c r="E154" s="498"/>
      <c r="F154" s="569" t="s">
        <v>427</v>
      </c>
      <c r="G154" s="569"/>
      <c r="H154" s="569"/>
      <c r="I154" s="569" t="s">
        <v>429</v>
      </c>
      <c r="J154" s="569"/>
      <c r="K154" s="569"/>
      <c r="L154" s="569" t="s">
        <v>430</v>
      </c>
      <c r="M154" s="569"/>
      <c r="N154" s="572"/>
    </row>
    <row r="155" spans="1:14" x14ac:dyDescent="0.2">
      <c r="A155" s="619"/>
      <c r="B155" s="619"/>
      <c r="C155" s="619"/>
      <c r="D155" s="619"/>
      <c r="E155" s="500"/>
      <c r="F155" s="573" t="s">
        <v>428</v>
      </c>
      <c r="G155" s="573"/>
      <c r="H155" s="573"/>
      <c r="I155" s="612"/>
      <c r="J155" s="613"/>
      <c r="K155" s="614"/>
      <c r="L155" s="573" t="s">
        <v>428</v>
      </c>
      <c r="M155" s="573"/>
      <c r="N155" s="574"/>
    </row>
    <row r="156" spans="1:14" x14ac:dyDescent="0.2">
      <c r="A156" s="582" t="s">
        <v>307</v>
      </c>
      <c r="B156" s="563"/>
      <c r="C156" s="563"/>
      <c r="D156" s="563"/>
      <c r="E156" s="563"/>
      <c r="F156" s="563"/>
      <c r="G156" s="563"/>
      <c r="H156" s="563"/>
      <c r="I156" s="563"/>
      <c r="J156" s="563"/>
      <c r="K156" s="563"/>
      <c r="L156" s="563"/>
      <c r="M156" s="563"/>
      <c r="N156" s="583"/>
    </row>
    <row r="157" spans="1:14" x14ac:dyDescent="0.2">
      <c r="A157" s="284" t="s">
        <v>431</v>
      </c>
      <c r="B157" s="576"/>
      <c r="C157" s="576"/>
      <c r="D157" s="576"/>
      <c r="E157" s="576"/>
      <c r="F157" s="524">
        <f>+F68</f>
        <v>9.4696482104161639E-7</v>
      </c>
      <c r="G157" s="315"/>
      <c r="H157" s="315"/>
      <c r="I157" s="524">
        <f>+J68</f>
        <v>3.5261816979877644E-7</v>
      </c>
      <c r="J157" s="315"/>
      <c r="K157" s="315"/>
      <c r="L157" s="524">
        <f>+L68</f>
        <v>1.2995829908403928E-6</v>
      </c>
      <c r="M157" s="315"/>
      <c r="N157" s="338"/>
    </row>
    <row r="158" spans="1:14" x14ac:dyDescent="0.2">
      <c r="A158" s="284" t="s">
        <v>432</v>
      </c>
      <c r="B158" s="576"/>
      <c r="C158" s="576"/>
      <c r="D158" s="576"/>
      <c r="E158" s="576"/>
      <c r="F158" s="524">
        <f>+F69</f>
        <v>1.0121951768853381E-7</v>
      </c>
      <c r="G158" s="315"/>
      <c r="H158" s="315"/>
      <c r="I158" s="524">
        <f>+J69</f>
        <v>1.8432313421299679E-8</v>
      </c>
      <c r="J158" s="315"/>
      <c r="K158" s="315"/>
      <c r="L158" s="524">
        <f>+L69</f>
        <v>1.1965183110983348E-7</v>
      </c>
      <c r="M158" s="315"/>
      <c r="N158" s="338"/>
    </row>
    <row r="159" spans="1:14" x14ac:dyDescent="0.2">
      <c r="A159" s="284" t="s">
        <v>433</v>
      </c>
      <c r="B159" s="576"/>
      <c r="C159" s="576"/>
      <c r="D159" s="576"/>
      <c r="E159" s="576"/>
      <c r="F159" s="524">
        <f>+F70</f>
        <v>7.7151765704815789E-7</v>
      </c>
      <c r="G159" s="315"/>
      <c r="H159" s="315"/>
      <c r="I159" s="524">
        <f>+J70</f>
        <v>2.0996809201654418E-7</v>
      </c>
      <c r="J159" s="315"/>
      <c r="K159" s="315"/>
      <c r="L159" s="524">
        <f>+L70</f>
        <v>9.8148574906470201E-7</v>
      </c>
      <c r="M159" s="315"/>
      <c r="N159" s="338"/>
    </row>
    <row r="160" spans="1:14" x14ac:dyDescent="0.2">
      <c r="A160" s="577" t="s">
        <v>434</v>
      </c>
      <c r="B160" s="578"/>
      <c r="C160" s="578"/>
      <c r="D160" s="578"/>
      <c r="E160" s="578"/>
      <c r="F160" s="524">
        <f>+F71</f>
        <v>2.834146495278947E-7</v>
      </c>
      <c r="G160" s="315"/>
      <c r="H160" s="315"/>
      <c r="I160" s="524">
        <f>+J71</f>
        <v>3.2056197254434224E-8</v>
      </c>
      <c r="J160" s="315"/>
      <c r="K160" s="315"/>
      <c r="L160" s="524">
        <f>+L71</f>
        <v>3.1547084678232895E-7</v>
      </c>
      <c r="M160" s="315"/>
      <c r="N160" s="338"/>
    </row>
    <row r="161" spans="1:14" x14ac:dyDescent="0.2">
      <c r="A161" s="577" t="s">
        <v>435</v>
      </c>
      <c r="B161" s="578"/>
      <c r="C161" s="578"/>
      <c r="D161" s="578"/>
      <c r="E161" s="578"/>
      <c r="F161" s="524">
        <f>+F72</f>
        <v>1.4620596999454884E-7</v>
      </c>
      <c r="G161" s="315"/>
      <c r="H161" s="315"/>
      <c r="I161" s="524">
        <f>+J72</f>
        <v>1.8833015886980104E-7</v>
      </c>
      <c r="J161" s="315"/>
      <c r="K161" s="315"/>
      <c r="L161" s="524">
        <f>+L72</f>
        <v>3.3453612886434991E-7</v>
      </c>
      <c r="M161" s="315"/>
      <c r="N161" s="338"/>
    </row>
    <row r="162" spans="1:14" ht="13.5" thickBot="1" x14ac:dyDescent="0.25">
      <c r="A162" s="579" t="s">
        <v>316</v>
      </c>
      <c r="B162" s="580"/>
      <c r="C162" s="580"/>
      <c r="D162" s="580"/>
      <c r="E162" s="580"/>
      <c r="F162" s="585">
        <f>SUM(F157:H161)</f>
        <v>2.2493226153007515E-6</v>
      </c>
      <c r="G162" s="586"/>
      <c r="H162" s="586"/>
      <c r="I162" s="585">
        <f>SUM(I157:K161)</f>
        <v>8.0140493136085558E-7</v>
      </c>
      <c r="J162" s="586"/>
      <c r="K162" s="586"/>
      <c r="L162" s="585">
        <f>SUM(L157:N161)</f>
        <v>3.0507275466616069E-6</v>
      </c>
      <c r="M162" s="586"/>
      <c r="N162" s="587"/>
    </row>
    <row r="163" spans="1:14" x14ac:dyDescent="0.2">
      <c r="A163" s="591" t="s">
        <v>308</v>
      </c>
      <c r="B163" s="592"/>
      <c r="C163" s="592"/>
      <c r="D163" s="592"/>
      <c r="E163" s="592"/>
      <c r="F163" s="592"/>
      <c r="G163" s="592"/>
      <c r="H163" s="592"/>
      <c r="I163" s="592"/>
      <c r="J163" s="592"/>
      <c r="K163" s="592"/>
      <c r="L163" s="592"/>
      <c r="M163" s="592"/>
      <c r="N163" s="593"/>
    </row>
    <row r="164" spans="1:14" x14ac:dyDescent="0.2">
      <c r="A164" s="577" t="s">
        <v>436</v>
      </c>
      <c r="B164" s="578"/>
      <c r="C164" s="578"/>
      <c r="D164" s="578"/>
      <c r="E164" s="578"/>
      <c r="F164" s="524">
        <f t="shared" ref="F164:F169" si="3">+F100</f>
        <v>1.4482164165947488E-6</v>
      </c>
      <c r="G164" s="315"/>
      <c r="H164" s="315"/>
      <c r="I164" s="524">
        <f t="shared" ref="I164:I169" si="4">+J100</f>
        <v>3.1724543411753722E-6</v>
      </c>
      <c r="J164" s="315"/>
      <c r="K164" s="315"/>
      <c r="L164" s="524">
        <f t="shared" ref="L164:L169" si="5">+L100</f>
        <v>4.6206707577701209E-6</v>
      </c>
      <c r="M164" s="315"/>
      <c r="N164" s="338"/>
    </row>
    <row r="165" spans="1:14" x14ac:dyDescent="0.2">
      <c r="A165" s="577" t="s">
        <v>437</v>
      </c>
      <c r="B165" s="578"/>
      <c r="C165" s="578"/>
      <c r="D165" s="578"/>
      <c r="E165" s="578"/>
      <c r="F165" s="524">
        <f t="shared" si="3"/>
        <v>4.3446492497842459E-6</v>
      </c>
      <c r="G165" s="315"/>
      <c r="H165" s="315"/>
      <c r="I165" s="524">
        <f t="shared" si="4"/>
        <v>1.903472604705223E-5</v>
      </c>
      <c r="J165" s="315"/>
      <c r="K165" s="315"/>
      <c r="L165" s="524">
        <f t="shared" si="5"/>
        <v>2.3379375296836476E-5</v>
      </c>
      <c r="M165" s="315"/>
      <c r="N165" s="338"/>
    </row>
    <row r="166" spans="1:14" x14ac:dyDescent="0.2">
      <c r="A166" s="577" t="s">
        <v>438</v>
      </c>
      <c r="B166" s="578"/>
      <c r="C166" s="578"/>
      <c r="D166" s="578"/>
      <c r="E166" s="578"/>
      <c r="F166" s="524">
        <f t="shared" si="3"/>
        <v>1.1035409094451985E-3</v>
      </c>
      <c r="G166" s="315"/>
      <c r="H166" s="315"/>
      <c r="I166" s="524">
        <f t="shared" si="4"/>
        <v>8.8204805532479257E-4</v>
      </c>
      <c r="J166" s="315"/>
      <c r="K166" s="315"/>
      <c r="L166" s="524">
        <f t="shared" si="5"/>
        <v>1.9855889647699913E-3</v>
      </c>
      <c r="M166" s="315"/>
      <c r="N166" s="338"/>
    </row>
    <row r="167" spans="1:14" x14ac:dyDescent="0.2">
      <c r="A167" s="577" t="s">
        <v>439</v>
      </c>
      <c r="B167" s="578"/>
      <c r="C167" s="578"/>
      <c r="D167" s="578"/>
      <c r="E167" s="578"/>
      <c r="F167" s="524">
        <f t="shared" si="3"/>
        <v>1.3033947749352737E-4</v>
      </c>
      <c r="G167" s="315"/>
      <c r="H167" s="315"/>
      <c r="I167" s="524">
        <f t="shared" si="4"/>
        <v>9.7288599796044748E-5</v>
      </c>
      <c r="J167" s="315"/>
      <c r="K167" s="315"/>
      <c r="L167" s="524">
        <f t="shared" si="5"/>
        <v>2.276280772895721E-4</v>
      </c>
      <c r="M167" s="315"/>
      <c r="N167" s="338"/>
    </row>
    <row r="168" spans="1:14" x14ac:dyDescent="0.2">
      <c r="A168" s="577" t="s">
        <v>440</v>
      </c>
      <c r="B168" s="578"/>
      <c r="C168" s="578"/>
      <c r="D168" s="578"/>
      <c r="E168" s="578"/>
      <c r="F168" s="524">
        <f t="shared" si="3"/>
        <v>5.64804402471952E-5</v>
      </c>
      <c r="G168" s="315"/>
      <c r="H168" s="315"/>
      <c r="I168" s="524">
        <f t="shared" si="4"/>
        <v>2.4322149949011187E-5</v>
      </c>
      <c r="J168" s="315"/>
      <c r="K168" s="315"/>
      <c r="L168" s="524">
        <f t="shared" si="5"/>
        <v>8.0802590196206391E-5</v>
      </c>
      <c r="M168" s="315"/>
      <c r="N168" s="338"/>
    </row>
    <row r="169" spans="1:14" x14ac:dyDescent="0.2">
      <c r="A169" s="577" t="s">
        <v>441</v>
      </c>
      <c r="B169" s="578"/>
      <c r="C169" s="578"/>
      <c r="D169" s="578"/>
      <c r="E169" s="578"/>
      <c r="F169" s="524">
        <f t="shared" si="3"/>
        <v>1.520627237424486E-4</v>
      </c>
      <c r="G169" s="315"/>
      <c r="H169" s="315"/>
      <c r="I169" s="524">
        <f t="shared" si="4"/>
        <v>3.1724543411753722E-5</v>
      </c>
      <c r="J169" s="315"/>
      <c r="K169" s="315"/>
      <c r="L169" s="524">
        <f t="shared" si="5"/>
        <v>1.8378726715420233E-4</v>
      </c>
      <c r="M169" s="315"/>
      <c r="N169" s="338"/>
    </row>
    <row r="170" spans="1:14" x14ac:dyDescent="0.2">
      <c r="A170" s="577" t="s">
        <v>442</v>
      </c>
      <c r="B170" s="578"/>
      <c r="C170" s="578"/>
      <c r="D170" s="578"/>
      <c r="E170" s="578"/>
      <c r="F170" s="524">
        <f>IF(J9="3ST",M116,IF(J9="4ST",M116,N136))</f>
        <v>5.2683790415197219E-5</v>
      </c>
      <c r="G170" s="315"/>
      <c r="H170" s="315"/>
      <c r="I170" s="524">
        <v>0</v>
      </c>
      <c r="J170" s="524"/>
      <c r="K170" s="524"/>
      <c r="L170" s="524">
        <f>+F170+I170</f>
        <v>5.2683790415197219E-5</v>
      </c>
      <c r="M170" s="315"/>
      <c r="N170" s="338"/>
    </row>
    <row r="171" spans="1:14" x14ac:dyDescent="0.2">
      <c r="A171" s="577" t="s">
        <v>443</v>
      </c>
      <c r="B171" s="578"/>
      <c r="C171" s="578"/>
      <c r="D171" s="578"/>
      <c r="E171" s="578"/>
      <c r="F171" s="524">
        <f>+M147</f>
        <v>4.0140030792531216E-5</v>
      </c>
      <c r="G171" s="315"/>
      <c r="H171" s="315"/>
      <c r="I171" s="524">
        <v>0</v>
      </c>
      <c r="J171" s="524"/>
      <c r="K171" s="524"/>
      <c r="L171" s="524">
        <f>+F171+I171</f>
        <v>4.0140030792531216E-5</v>
      </c>
      <c r="M171" s="315"/>
      <c r="N171" s="338"/>
    </row>
    <row r="172" spans="1:14" ht="13.5" thickBot="1" x14ac:dyDescent="0.25">
      <c r="A172" s="579" t="s">
        <v>316</v>
      </c>
      <c r="B172" s="580"/>
      <c r="C172" s="580"/>
      <c r="D172" s="580"/>
      <c r="E172" s="580"/>
      <c r="F172" s="585">
        <f>SUM(F164:H171)</f>
        <v>1.5410402378024772E-3</v>
      </c>
      <c r="G172" s="586"/>
      <c r="H172" s="586"/>
      <c r="I172" s="585">
        <f>SUM(I164:K171)</f>
        <v>1.0575905288698296E-3</v>
      </c>
      <c r="J172" s="586"/>
      <c r="K172" s="586"/>
      <c r="L172" s="585">
        <f>SUM(L164:N171)</f>
        <v>2.598630766672307E-3</v>
      </c>
      <c r="M172" s="586"/>
      <c r="N172" s="587"/>
    </row>
    <row r="173" spans="1:14" ht="13.5" thickBot="1" x14ac:dyDescent="0.25">
      <c r="A173" s="600" t="s">
        <v>35</v>
      </c>
      <c r="B173" s="601"/>
      <c r="C173" s="601"/>
      <c r="D173" s="601"/>
      <c r="E173" s="601"/>
      <c r="F173" s="588">
        <f>+F162+F172</f>
        <v>1.5432895604177779E-3</v>
      </c>
      <c r="G173" s="589"/>
      <c r="H173" s="589"/>
      <c r="I173" s="588">
        <f>+I162+I172</f>
        <v>1.0583919338011906E-3</v>
      </c>
      <c r="J173" s="589"/>
      <c r="K173" s="589"/>
      <c r="L173" s="588">
        <f>+L162+L172</f>
        <v>2.6016814942189685E-3</v>
      </c>
      <c r="M173" s="589"/>
      <c r="N173" s="590"/>
    </row>
    <row r="176" spans="1:14" ht="13.5" thickBot="1" x14ac:dyDescent="0.25"/>
    <row r="177" spans="5:11" ht="14.25" thickTop="1" thickBot="1" x14ac:dyDescent="0.25">
      <c r="E177" s="610" t="s">
        <v>444</v>
      </c>
      <c r="F177" s="610"/>
      <c r="G177" s="610"/>
      <c r="H177" s="610"/>
      <c r="I177" s="610"/>
      <c r="J177" s="610"/>
      <c r="K177" s="610"/>
    </row>
    <row r="178" spans="5:11" x14ac:dyDescent="0.2">
      <c r="E178" s="489" t="s">
        <v>16</v>
      </c>
      <c r="F178" s="278"/>
      <c r="G178" s="278"/>
      <c r="H178" s="308" t="s">
        <v>17</v>
      </c>
      <c r="I178" s="308"/>
      <c r="J178" s="308"/>
      <c r="K178" s="552"/>
    </row>
    <row r="179" spans="5:11" x14ac:dyDescent="0.2">
      <c r="E179" s="305" t="s">
        <v>43</v>
      </c>
      <c r="F179" s="306"/>
      <c r="G179" s="306"/>
      <c r="H179" s="280" t="s">
        <v>445</v>
      </c>
      <c r="I179" s="280"/>
      <c r="J179" s="280"/>
      <c r="K179" s="608"/>
    </row>
    <row r="180" spans="5:11" x14ac:dyDescent="0.2">
      <c r="E180" s="307"/>
      <c r="F180" s="306"/>
      <c r="G180" s="306"/>
      <c r="H180" s="280"/>
      <c r="I180" s="280"/>
      <c r="J180" s="280"/>
      <c r="K180" s="608"/>
    </row>
    <row r="181" spans="5:11" x14ac:dyDescent="0.2">
      <c r="E181" s="307"/>
      <c r="F181" s="306"/>
      <c r="G181" s="306"/>
      <c r="H181" s="492"/>
      <c r="I181" s="492"/>
      <c r="J181" s="492"/>
      <c r="K181" s="564"/>
    </row>
    <row r="182" spans="5:11" x14ac:dyDescent="0.2">
      <c r="E182" s="307"/>
      <c r="F182" s="306"/>
      <c r="G182" s="306"/>
      <c r="H182" s="282" t="s">
        <v>446</v>
      </c>
      <c r="I182" s="282"/>
      <c r="J182" s="282"/>
      <c r="K182" s="609"/>
    </row>
    <row r="183" spans="5:11" x14ac:dyDescent="0.2">
      <c r="E183" s="284" t="s">
        <v>35</v>
      </c>
      <c r="F183" s="285"/>
      <c r="G183" s="285"/>
      <c r="H183" s="289">
        <f>+L173</f>
        <v>2.6016814942189685E-3</v>
      </c>
      <c r="I183" s="289"/>
      <c r="J183" s="289"/>
      <c r="K183" s="611"/>
    </row>
    <row r="184" spans="5:11" x14ac:dyDescent="0.2">
      <c r="E184" s="284" t="s">
        <v>133</v>
      </c>
      <c r="F184" s="285"/>
      <c r="G184" s="285"/>
      <c r="H184" s="289">
        <f>+F173</f>
        <v>1.5432895604177779E-3</v>
      </c>
      <c r="I184" s="289"/>
      <c r="J184" s="289"/>
      <c r="K184" s="611"/>
    </row>
    <row r="185" spans="5:11" ht="13.5" thickBot="1" x14ac:dyDescent="0.25">
      <c r="E185" s="287" t="s">
        <v>134</v>
      </c>
      <c r="F185" s="288"/>
      <c r="G185" s="288"/>
      <c r="H185" s="290">
        <f>+I173</f>
        <v>1.0583919338011906E-3</v>
      </c>
      <c r="I185" s="290"/>
      <c r="J185" s="290"/>
      <c r="K185" s="622"/>
    </row>
  </sheetData>
  <mergeCells count="548">
    <mergeCell ref="A15:G15"/>
    <mergeCell ref="H15:I15"/>
    <mergeCell ref="J15:N15"/>
    <mergeCell ref="A16:G16"/>
    <mergeCell ref="H16:I16"/>
    <mergeCell ref="J16:N16"/>
    <mergeCell ref="A2:N2"/>
    <mergeCell ref="A3:G3"/>
    <mergeCell ref="H3:N3"/>
    <mergeCell ref="A4:C4"/>
    <mergeCell ref="E4:G4"/>
    <mergeCell ref="H4:J4"/>
    <mergeCell ref="K4:N4"/>
    <mergeCell ref="A5:C5"/>
    <mergeCell ref="E5:G5"/>
    <mergeCell ref="H5:J5"/>
    <mergeCell ref="K5:N5"/>
    <mergeCell ref="A6:C6"/>
    <mergeCell ref="E6:G6"/>
    <mergeCell ref="H6:J6"/>
    <mergeCell ref="K6:N6"/>
    <mergeCell ref="A7:C7"/>
    <mergeCell ref="E7:G7"/>
    <mergeCell ref="H7:J7"/>
    <mergeCell ref="K7:N7"/>
    <mergeCell ref="A8:G8"/>
    <mergeCell ref="H8:I8"/>
    <mergeCell ref="J8:N8"/>
    <mergeCell ref="A9:G9"/>
    <mergeCell ref="H9:I9"/>
    <mergeCell ref="J9:N9"/>
    <mergeCell ref="H10:I10"/>
    <mergeCell ref="J10:N10"/>
    <mergeCell ref="A10:D10"/>
    <mergeCell ref="H11:I11"/>
    <mergeCell ref="J11:N11"/>
    <mergeCell ref="A12:G12"/>
    <mergeCell ref="H12:I12"/>
    <mergeCell ref="I39:J39"/>
    <mergeCell ref="M36:N36"/>
    <mergeCell ref="M37:N38"/>
    <mergeCell ref="M39:N39"/>
    <mergeCell ref="A13:G13"/>
    <mergeCell ref="A11:D11"/>
    <mergeCell ref="H13:I13"/>
    <mergeCell ref="J13:N13"/>
    <mergeCell ref="A14:G14"/>
    <mergeCell ref="H14:I14"/>
    <mergeCell ref="J14:N14"/>
    <mergeCell ref="J12:N12"/>
    <mergeCell ref="E37:F38"/>
    <mergeCell ref="E39:F39"/>
    <mergeCell ref="A23:G23"/>
    <mergeCell ref="H23:I23"/>
    <mergeCell ref="J28:N28"/>
    <mergeCell ref="A21:G21"/>
    <mergeCell ref="A28:G28"/>
    <mergeCell ref="A27:G27"/>
    <mergeCell ref="H18:I18"/>
    <mergeCell ref="J18:N18"/>
    <mergeCell ref="A37:B38"/>
    <mergeCell ref="A18:G18"/>
    <mergeCell ref="H19:I19"/>
    <mergeCell ref="J19:N19"/>
    <mergeCell ref="H20:I20"/>
    <mergeCell ref="I37:J38"/>
    <mergeCell ref="C37:D38"/>
    <mergeCell ref="J20:N20"/>
    <mergeCell ref="A20:G20"/>
    <mergeCell ref="H21:I21"/>
    <mergeCell ref="J21:N21"/>
    <mergeCell ref="H26:I26"/>
    <mergeCell ref="J26:N26"/>
    <mergeCell ref="A29:G29"/>
    <mergeCell ref="H29:I29"/>
    <mergeCell ref="J29:N29"/>
    <mergeCell ref="K37:L38"/>
    <mergeCell ref="A19:G19"/>
    <mergeCell ref="A26:G26"/>
    <mergeCell ref="H27:I27"/>
    <mergeCell ref="J27:N27"/>
    <mergeCell ref="H28:I28"/>
    <mergeCell ref="A30:G30"/>
    <mergeCell ref="K39:L39"/>
    <mergeCell ref="E36:F36"/>
    <mergeCell ref="G36:H36"/>
    <mergeCell ref="I36:J36"/>
    <mergeCell ref="E40:F40"/>
    <mergeCell ref="E41:F41"/>
    <mergeCell ref="G37:H38"/>
    <mergeCell ref="G39:H39"/>
    <mergeCell ref="G40:H40"/>
    <mergeCell ref="G41:H41"/>
    <mergeCell ref="J23:N23"/>
    <mergeCell ref="A22:G22"/>
    <mergeCell ref="H22:I22"/>
    <mergeCell ref="A40:B40"/>
    <mergeCell ref="C39:D39"/>
    <mergeCell ref="C40:D40"/>
    <mergeCell ref="A45:N45"/>
    <mergeCell ref="A46:B46"/>
    <mergeCell ref="I46:J46"/>
    <mergeCell ref="C46:E46"/>
    <mergeCell ref="I40:J40"/>
    <mergeCell ref="I41:J41"/>
    <mergeCell ref="A39:B39"/>
    <mergeCell ref="A41:B41"/>
    <mergeCell ref="A31:G31"/>
    <mergeCell ref="H31:I31"/>
    <mergeCell ref="J31:N31"/>
    <mergeCell ref="A36:B36"/>
    <mergeCell ref="C36:D36"/>
    <mergeCell ref="H30:I30"/>
    <mergeCell ref="J30:N30"/>
    <mergeCell ref="K36:L36"/>
    <mergeCell ref="J24:N24"/>
    <mergeCell ref="A35:N35"/>
    <mergeCell ref="A47:B50"/>
    <mergeCell ref="I47:J50"/>
    <mergeCell ref="K47:K48"/>
    <mergeCell ref="C47:E48"/>
    <mergeCell ref="C49:E49"/>
    <mergeCell ref="H47:H48"/>
    <mergeCell ref="C41:D41"/>
    <mergeCell ref="K49:K50"/>
    <mergeCell ref="F46:G46"/>
    <mergeCell ref="F47:G48"/>
    <mergeCell ref="F49:G50"/>
    <mergeCell ref="H49:H50"/>
    <mergeCell ref="K40:L40"/>
    <mergeCell ref="K41:L41"/>
    <mergeCell ref="M41:N41"/>
    <mergeCell ref="M40:N40"/>
    <mergeCell ref="L47:L48"/>
    <mergeCell ref="M47:M50"/>
    <mergeCell ref="N47:N48"/>
    <mergeCell ref="L49:L50"/>
    <mergeCell ref="N49:N50"/>
    <mergeCell ref="A60:C60"/>
    <mergeCell ref="D60:E60"/>
    <mergeCell ref="N54:N55"/>
    <mergeCell ref="I55:J55"/>
    <mergeCell ref="N52:N53"/>
    <mergeCell ref="I53:J53"/>
    <mergeCell ref="M54:M55"/>
    <mergeCell ref="L60:N60"/>
    <mergeCell ref="K54:K55"/>
    <mergeCell ref="L52:L53"/>
    <mergeCell ref="M52:M53"/>
    <mergeCell ref="E52:E53"/>
    <mergeCell ref="I51:J51"/>
    <mergeCell ref="I52:J52"/>
    <mergeCell ref="I54:J54"/>
    <mergeCell ref="K52:K53"/>
    <mergeCell ref="F54:G55"/>
    <mergeCell ref="E54:E55"/>
    <mergeCell ref="H54:H55"/>
    <mergeCell ref="A59:N59"/>
    <mergeCell ref="L54:L55"/>
    <mergeCell ref="A51:B51"/>
    <mergeCell ref="A52:B53"/>
    <mergeCell ref="C52:C53"/>
    <mergeCell ref="D52:D53"/>
    <mergeCell ref="A54:B55"/>
    <mergeCell ref="C54:C55"/>
    <mergeCell ref="D54:D55"/>
    <mergeCell ref="H61:I63"/>
    <mergeCell ref="J61:K63"/>
    <mergeCell ref="L61:N63"/>
    <mergeCell ref="A61:C65"/>
    <mergeCell ref="D61:E63"/>
    <mergeCell ref="F61:G63"/>
    <mergeCell ref="F64:G65"/>
    <mergeCell ref="H64:I65"/>
    <mergeCell ref="J64:K65"/>
    <mergeCell ref="L64:N65"/>
    <mergeCell ref="F51:G51"/>
    <mergeCell ref="F52:G53"/>
    <mergeCell ref="H52:H53"/>
    <mergeCell ref="F60:G60"/>
    <mergeCell ref="H60:I60"/>
    <mergeCell ref="J60:K60"/>
    <mergeCell ref="A66:C66"/>
    <mergeCell ref="D66:E66"/>
    <mergeCell ref="F66:G66"/>
    <mergeCell ref="D64:E65"/>
    <mergeCell ref="H67:I67"/>
    <mergeCell ref="J67:K67"/>
    <mergeCell ref="H66:I66"/>
    <mergeCell ref="J66:K66"/>
    <mergeCell ref="L66:N66"/>
    <mergeCell ref="L67:N67"/>
    <mergeCell ref="A67:C67"/>
    <mergeCell ref="D67:E67"/>
    <mergeCell ref="F67:G67"/>
    <mergeCell ref="A68:C68"/>
    <mergeCell ref="D68:E68"/>
    <mergeCell ref="F68:G68"/>
    <mergeCell ref="H68:I68"/>
    <mergeCell ref="J68:K68"/>
    <mergeCell ref="L68:N68"/>
    <mergeCell ref="A69:C69"/>
    <mergeCell ref="D69:E69"/>
    <mergeCell ref="F69:G69"/>
    <mergeCell ref="H69:I69"/>
    <mergeCell ref="J69:K69"/>
    <mergeCell ref="L69:N69"/>
    <mergeCell ref="A70:C70"/>
    <mergeCell ref="D70:E70"/>
    <mergeCell ref="F70:G70"/>
    <mergeCell ref="H70:I70"/>
    <mergeCell ref="J70:K70"/>
    <mergeCell ref="L70:N70"/>
    <mergeCell ref="A76:N76"/>
    <mergeCell ref="A77:B77"/>
    <mergeCell ref="C77:E77"/>
    <mergeCell ref="F77:G77"/>
    <mergeCell ref="I77:J77"/>
    <mergeCell ref="L71:N71"/>
    <mergeCell ref="L72:N72"/>
    <mergeCell ref="A71:C71"/>
    <mergeCell ref="D71:E71"/>
    <mergeCell ref="F71:G71"/>
    <mergeCell ref="H71:I71"/>
    <mergeCell ref="J71:K71"/>
    <mergeCell ref="A72:C72"/>
    <mergeCell ref="D72:E72"/>
    <mergeCell ref="F72:G72"/>
    <mergeCell ref="H72:I72"/>
    <mergeCell ref="J72:K72"/>
    <mergeCell ref="L78:L79"/>
    <mergeCell ref="M78:M81"/>
    <mergeCell ref="N78:N79"/>
    <mergeCell ref="C80:E80"/>
    <mergeCell ref="K80:K81"/>
    <mergeCell ref="L80:L81"/>
    <mergeCell ref="N80:N81"/>
    <mergeCell ref="I83:J83"/>
    <mergeCell ref="A84:B85"/>
    <mergeCell ref="C84:C85"/>
    <mergeCell ref="D84:D85"/>
    <mergeCell ref="E84:E85"/>
    <mergeCell ref="F84:G85"/>
    <mergeCell ref="H84:H85"/>
    <mergeCell ref="I84:J84"/>
    <mergeCell ref="C78:E79"/>
    <mergeCell ref="F78:G79"/>
    <mergeCell ref="H78:H79"/>
    <mergeCell ref="I78:J81"/>
    <mergeCell ref="K78:K79"/>
    <mergeCell ref="A78:B82"/>
    <mergeCell ref="C81:C82"/>
    <mergeCell ref="D81:D82"/>
    <mergeCell ref="E81:E82"/>
    <mergeCell ref="F80:G82"/>
    <mergeCell ref="H80:H82"/>
    <mergeCell ref="H86:H87"/>
    <mergeCell ref="I86:J86"/>
    <mergeCell ref="K86:K87"/>
    <mergeCell ref="A86:B87"/>
    <mergeCell ref="C86:C87"/>
    <mergeCell ref="D86:D87"/>
    <mergeCell ref="E86:E87"/>
    <mergeCell ref="F86:G87"/>
    <mergeCell ref="A83:B83"/>
    <mergeCell ref="F83:G83"/>
    <mergeCell ref="A91:N91"/>
    <mergeCell ref="A92:C92"/>
    <mergeCell ref="D92:E92"/>
    <mergeCell ref="F92:G92"/>
    <mergeCell ref="H92:I92"/>
    <mergeCell ref="J92:K92"/>
    <mergeCell ref="N86:N87"/>
    <mergeCell ref="I87:J87"/>
    <mergeCell ref="K84:K85"/>
    <mergeCell ref="L84:L85"/>
    <mergeCell ref="M84:M85"/>
    <mergeCell ref="N84:N85"/>
    <mergeCell ref="I85:J85"/>
    <mergeCell ref="L92:N92"/>
    <mergeCell ref="L86:L87"/>
    <mergeCell ref="M86:M87"/>
    <mergeCell ref="H93:I95"/>
    <mergeCell ref="J93:K95"/>
    <mergeCell ref="L93:N95"/>
    <mergeCell ref="A93:C97"/>
    <mergeCell ref="D93:E95"/>
    <mergeCell ref="F93:G95"/>
    <mergeCell ref="F96:G97"/>
    <mergeCell ref="H96:I97"/>
    <mergeCell ref="J96:K97"/>
    <mergeCell ref="L96:N97"/>
    <mergeCell ref="A98:C98"/>
    <mergeCell ref="D98:E98"/>
    <mergeCell ref="F98:G98"/>
    <mergeCell ref="D96:E97"/>
    <mergeCell ref="H99:I99"/>
    <mergeCell ref="J99:K99"/>
    <mergeCell ref="H98:I98"/>
    <mergeCell ref="J98:K98"/>
    <mergeCell ref="L98:N98"/>
    <mergeCell ref="L99:N99"/>
    <mergeCell ref="A99:C99"/>
    <mergeCell ref="D99:E99"/>
    <mergeCell ref="F99:G99"/>
    <mergeCell ref="A100:C100"/>
    <mergeCell ref="D100:E100"/>
    <mergeCell ref="F100:G100"/>
    <mergeCell ref="H100:I100"/>
    <mergeCell ref="J100:K100"/>
    <mergeCell ref="L100:N100"/>
    <mergeCell ref="A101:C101"/>
    <mergeCell ref="D101:E101"/>
    <mergeCell ref="F101:G101"/>
    <mergeCell ref="H101:I101"/>
    <mergeCell ref="J101:K101"/>
    <mergeCell ref="L101:N101"/>
    <mergeCell ref="A105:C105"/>
    <mergeCell ref="D105:E105"/>
    <mergeCell ref="F105:G105"/>
    <mergeCell ref="H105:I105"/>
    <mergeCell ref="J105:K105"/>
    <mergeCell ref="L105:N105"/>
    <mergeCell ref="A102:C102"/>
    <mergeCell ref="D102:E102"/>
    <mergeCell ref="F102:G102"/>
    <mergeCell ref="H102:I102"/>
    <mergeCell ref="J102:K102"/>
    <mergeCell ref="L102:N102"/>
    <mergeCell ref="A103:C103"/>
    <mergeCell ref="D103:E103"/>
    <mergeCell ref="F103:G103"/>
    <mergeCell ref="H103:I103"/>
    <mergeCell ref="J103:K103"/>
    <mergeCell ref="L103:N103"/>
    <mergeCell ref="A104:C104"/>
    <mergeCell ref="D104:E104"/>
    <mergeCell ref="F104:G104"/>
    <mergeCell ref="H104:I104"/>
    <mergeCell ref="J104:K104"/>
    <mergeCell ref="L104:N104"/>
    <mergeCell ref="A109:N109"/>
    <mergeCell ref="A110:C110"/>
    <mergeCell ref="D110:E110"/>
    <mergeCell ref="F110:G110"/>
    <mergeCell ref="I110:J110"/>
    <mergeCell ref="K110:L110"/>
    <mergeCell ref="M110:N110"/>
    <mergeCell ref="A111:C114"/>
    <mergeCell ref="D111:E112"/>
    <mergeCell ref="F111:G112"/>
    <mergeCell ref="H111:H112"/>
    <mergeCell ref="I111:J112"/>
    <mergeCell ref="K111:L114"/>
    <mergeCell ref="M111:N112"/>
    <mergeCell ref="D113:E114"/>
    <mergeCell ref="F113:G114"/>
    <mergeCell ref="H113:H114"/>
    <mergeCell ref="I113:J114"/>
    <mergeCell ref="M113:N114"/>
    <mergeCell ref="A115:C115"/>
    <mergeCell ref="D115:E115"/>
    <mergeCell ref="F115:G115"/>
    <mergeCell ref="I115:J115"/>
    <mergeCell ref="K115:L115"/>
    <mergeCell ref="M115:N115"/>
    <mergeCell ref="B120:M120"/>
    <mergeCell ref="B121:D121"/>
    <mergeCell ref="E121:G121"/>
    <mergeCell ref="H121:J121"/>
    <mergeCell ref="K121:M121"/>
    <mergeCell ref="B122:D122"/>
    <mergeCell ref="A116:C116"/>
    <mergeCell ref="D116:E116"/>
    <mergeCell ref="F116:G116"/>
    <mergeCell ref="I116:J116"/>
    <mergeCell ref="K116:L116"/>
    <mergeCell ref="M116:N116"/>
    <mergeCell ref="B123:D123"/>
    <mergeCell ref="E122:G122"/>
    <mergeCell ref="H122:J122"/>
    <mergeCell ref="E123:G123"/>
    <mergeCell ref="H123:J123"/>
    <mergeCell ref="K122:M123"/>
    <mergeCell ref="B124:D124"/>
    <mergeCell ref="E124:G124"/>
    <mergeCell ref="H124:J124"/>
    <mergeCell ref="K124:M124"/>
    <mergeCell ref="B125:D125"/>
    <mergeCell ref="E125:G125"/>
    <mergeCell ref="H125:J125"/>
    <mergeCell ref="K125:M125"/>
    <mergeCell ref="A142:C145"/>
    <mergeCell ref="D142:E143"/>
    <mergeCell ref="F142:G143"/>
    <mergeCell ref="H142:H143"/>
    <mergeCell ref="I142:J143"/>
    <mergeCell ref="K142:L145"/>
    <mergeCell ref="A141:C141"/>
    <mergeCell ref="D141:E141"/>
    <mergeCell ref="F141:G141"/>
    <mergeCell ref="I141:J141"/>
    <mergeCell ref="K141:L141"/>
    <mergeCell ref="A136:B136"/>
    <mergeCell ref="C130:G130"/>
    <mergeCell ref="C131:G132"/>
    <mergeCell ref="C133:G133"/>
    <mergeCell ref="A131:B134"/>
    <mergeCell ref="A140:N140"/>
    <mergeCell ref="A135:B135"/>
    <mergeCell ref="H131:H134"/>
    <mergeCell ref="I130:J130"/>
    <mergeCell ref="I133:J134"/>
    <mergeCell ref="I131:J132"/>
    <mergeCell ref="K131:L132"/>
    <mergeCell ref="K133:L134"/>
    <mergeCell ref="N133:N134"/>
    <mergeCell ref="M141:N141"/>
    <mergeCell ref="D144:E145"/>
    <mergeCell ref="F144:G145"/>
    <mergeCell ref="H144:H145"/>
    <mergeCell ref="I144:J145"/>
    <mergeCell ref="M144:N145"/>
    <mergeCell ref="A146:C146"/>
    <mergeCell ref="D146:E146"/>
    <mergeCell ref="F146:G146"/>
    <mergeCell ref="I146:J146"/>
    <mergeCell ref="K146:L146"/>
    <mergeCell ref="M146:N146"/>
    <mergeCell ref="M142:N143"/>
    <mergeCell ref="A147:C147"/>
    <mergeCell ref="D147:E147"/>
    <mergeCell ref="F147:G147"/>
    <mergeCell ref="I147:J147"/>
    <mergeCell ref="K147:L147"/>
    <mergeCell ref="M147:N147"/>
    <mergeCell ref="E185:G185"/>
    <mergeCell ref="H185:K185"/>
    <mergeCell ref="A151:N151"/>
    <mergeCell ref="A152:E152"/>
    <mergeCell ref="F152:H152"/>
    <mergeCell ref="I152:K152"/>
    <mergeCell ref="L152:N152"/>
    <mergeCell ref="F153:H153"/>
    <mergeCell ref="I153:K153"/>
    <mergeCell ref="L153:N153"/>
    <mergeCell ref="A158:E158"/>
    <mergeCell ref="F158:H158"/>
    <mergeCell ref="I158:K158"/>
    <mergeCell ref="L158:N158"/>
    <mergeCell ref="I154:K154"/>
    <mergeCell ref="L154:N154"/>
    <mergeCell ref="F155:H155"/>
    <mergeCell ref="L155:N155"/>
    <mergeCell ref="I155:K155"/>
    <mergeCell ref="F154:H154"/>
    <mergeCell ref="L159:N159"/>
    <mergeCell ref="A160:E160"/>
    <mergeCell ref="F160:H160"/>
    <mergeCell ref="I160:K160"/>
    <mergeCell ref="L160:N160"/>
    <mergeCell ref="A156:N156"/>
    <mergeCell ref="A157:E157"/>
    <mergeCell ref="F157:H157"/>
    <mergeCell ref="I157:K157"/>
    <mergeCell ref="L157:N157"/>
    <mergeCell ref="A153:E155"/>
    <mergeCell ref="E183:G183"/>
    <mergeCell ref="E184:G184"/>
    <mergeCell ref="H183:K183"/>
    <mergeCell ref="H184:K184"/>
    <mergeCell ref="A159:E159"/>
    <mergeCell ref="F159:H159"/>
    <mergeCell ref="I159:K159"/>
    <mergeCell ref="F162:H162"/>
    <mergeCell ref="I162:K162"/>
    <mergeCell ref="A161:E161"/>
    <mergeCell ref="F161:H161"/>
    <mergeCell ref="I161:K161"/>
    <mergeCell ref="I172:K172"/>
    <mergeCell ref="A171:E171"/>
    <mergeCell ref="F171:H171"/>
    <mergeCell ref="A164:E164"/>
    <mergeCell ref="A167:E167"/>
    <mergeCell ref="A165:E165"/>
    <mergeCell ref="F166:H166"/>
    <mergeCell ref="F167:H167"/>
    <mergeCell ref="A163:N163"/>
    <mergeCell ref="F164:H164"/>
    <mergeCell ref="A168:E168"/>
    <mergeCell ref="F168:H168"/>
    <mergeCell ref="L162:N162"/>
    <mergeCell ref="H179:K181"/>
    <mergeCell ref="H182:K182"/>
    <mergeCell ref="E179:G182"/>
    <mergeCell ref="A166:E166"/>
    <mergeCell ref="F165:H165"/>
    <mergeCell ref="I165:K165"/>
    <mergeCell ref="L165:N165"/>
    <mergeCell ref="I166:K166"/>
    <mergeCell ref="A169:E169"/>
    <mergeCell ref="A173:E173"/>
    <mergeCell ref="F173:H173"/>
    <mergeCell ref="I173:K173"/>
    <mergeCell ref="L173:N173"/>
    <mergeCell ref="I164:K164"/>
    <mergeCell ref="L164:N164"/>
    <mergeCell ref="I167:K167"/>
    <mergeCell ref="L166:N166"/>
    <mergeCell ref="L167:N167"/>
    <mergeCell ref="E177:K177"/>
    <mergeCell ref="E178:G178"/>
    <mergeCell ref="H178:K178"/>
    <mergeCell ref="A172:E172"/>
    <mergeCell ref="F172:H172"/>
    <mergeCell ref="I168:K168"/>
    <mergeCell ref="L168:N168"/>
    <mergeCell ref="F169:H169"/>
    <mergeCell ref="I169:K169"/>
    <mergeCell ref="L169:N169"/>
    <mergeCell ref="A170:E170"/>
    <mergeCell ref="F170:H170"/>
    <mergeCell ref="I170:K170"/>
    <mergeCell ref="L170:N170"/>
    <mergeCell ref="L172:N172"/>
    <mergeCell ref="A25:G25"/>
    <mergeCell ref="H25:I25"/>
    <mergeCell ref="J25:N25"/>
    <mergeCell ref="A17:G17"/>
    <mergeCell ref="H17:I17"/>
    <mergeCell ref="J17:N17"/>
    <mergeCell ref="A43:B43"/>
    <mergeCell ref="A24:G24"/>
    <mergeCell ref="H24:I24"/>
    <mergeCell ref="J22:N22"/>
    <mergeCell ref="I135:J135"/>
    <mergeCell ref="I136:J136"/>
    <mergeCell ref="K135:L135"/>
    <mergeCell ref="K136:L136"/>
    <mergeCell ref="A129:N129"/>
    <mergeCell ref="A130:B130"/>
    <mergeCell ref="K130:L130"/>
    <mergeCell ref="M131:M134"/>
    <mergeCell ref="N131:N132"/>
    <mergeCell ref="L161:N161"/>
    <mergeCell ref="A162:E162"/>
    <mergeCell ref="I171:K171"/>
    <mergeCell ref="L171:N171"/>
  </mergeCells>
  <conditionalFormatting sqref="J10:N10">
    <cfRule type="cellIs" dxfId="1" priority="2" stopIfTrue="1" operator="greaterThan">
      <formula>$F$10</formula>
    </cfRule>
  </conditionalFormatting>
  <conditionalFormatting sqref="J11:N11">
    <cfRule type="cellIs" dxfId="0" priority="1" stopIfTrue="1" operator="greaterThan">
      <formula>$F$11</formula>
    </cfRule>
  </conditionalFormatting>
  <dataValidations count="10">
    <dataValidation type="whole" operator="greaterThanOrEqual" allowBlank="1" showInputMessage="1" showErrorMessage="1" sqref="J31:N31 J28:N29" xr:uid="{00000000-0002-0000-0200-000000000000}">
      <formula1>0</formula1>
    </dataValidation>
    <dataValidation type="list" allowBlank="1" showInputMessage="1" showErrorMessage="1" sqref="J26:N26 J30:N30 J12:N12" xr:uid="{00000000-0002-0000-0200-000001000000}">
      <formula1>PresOrNot</formula1>
    </dataValidation>
    <dataValidation type="list" operator="greaterThanOrEqual" allowBlank="1" showInputMessage="1" showErrorMessage="1" sqref="J21:N24" xr:uid="{00000000-0002-0000-0200-000002000000}">
      <formula1>Phasing2</formula1>
    </dataValidation>
    <dataValidation type="list" operator="greaterThanOrEqual" allowBlank="1" showInputMessage="1" showErrorMessage="1" sqref="J18:N20 J25:N25" xr:uid="{00000000-0002-0000-0200-000003000000}">
      <formula1>TLanes</formula1>
    </dataValidation>
    <dataValidation type="whole" operator="greaterThan" allowBlank="1" showInputMessage="1" showErrorMessage="1" sqref="K7:N7" xr:uid="{00000000-0002-0000-0200-000004000000}">
      <formula1>1990</formula1>
    </dataValidation>
    <dataValidation type="whole" allowBlank="1" showInputMessage="1" showErrorMessage="1" sqref="J11:N11" xr:uid="{00000000-0002-0000-0200-000005000000}">
      <formula1>0</formula1>
      <formula2>49100</formula2>
    </dataValidation>
    <dataValidation type="whole" allowBlank="1" showInputMessage="1" showErrorMessage="1" sqref="J10:N10" xr:uid="{00000000-0002-0000-0200-000006000000}">
      <formula1>0</formula1>
      <formula2>80200</formula2>
    </dataValidation>
    <dataValidation type="list" operator="greaterThan" allowBlank="1" showInputMessage="1" showErrorMessage="1" sqref="J9:N9" xr:uid="{00000000-0002-0000-0200-000007000000}">
      <formula1>IType2</formula1>
    </dataValidation>
    <dataValidation type="list" operator="greaterThanOrEqual" allowBlank="1" showInputMessage="1" showErrorMessage="1" sqref="J15:N16" xr:uid="{00000000-0002-0000-0200-000008000000}">
      <formula1>UnsigApproach</formula1>
    </dataValidation>
    <dataValidation type="whole" allowBlank="1" showInputMessage="1" showErrorMessage="1" promptTitle="Warning" prompt="The signalized intersection SPFs assume that there are some pedestrians present (value &gt; 0), so this input value should be a whole number of 1 or greater.  This field is not used for unsignalized intersections." sqref="J27:N27" xr:uid="{00000000-0002-0000-0200-000009000000}">
      <formula1>0</formula1>
      <formula2>34200</formula2>
    </dataValidation>
  </dataValidations>
  <pageMargins left="0.88" right="0.28999999999999998" top="0.79" bottom="0.75" header="0.3" footer="0.3"/>
  <pageSetup scale="77" fitToHeight="4" orientation="landscape" r:id="rId1"/>
  <headerFooter>
    <oddHeader>&amp;CUrban and Suburban Arterial Predictive Method</oddHeader>
    <oddFooter>&amp;R&amp;P</oddFooter>
  </headerFooter>
  <rowBreaks count="3" manualBreakCount="3">
    <brk id="42" max="13" man="1"/>
    <brk id="89" max="13" man="1"/>
    <brk id="13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137"/>
  <sheetViews>
    <sheetView zoomScaleNormal="100" workbookViewId="0">
      <selection activeCell="M24" sqref="M24"/>
    </sheetView>
  </sheetViews>
  <sheetFormatPr defaultColWidth="9.140625" defaultRowHeight="12.75" x14ac:dyDescent="0.2"/>
  <cols>
    <col min="1" max="7" width="13.7109375" style="29" customWidth="1"/>
    <col min="8" max="8" width="15.28515625" style="29" customWidth="1"/>
    <col min="9" max="9" width="13.7109375" style="29" customWidth="1"/>
    <col min="10" max="10" width="15.85546875" style="29" customWidth="1"/>
    <col min="11" max="17" width="13.7109375" style="29" customWidth="1"/>
    <col min="18" max="27" width="12.7109375" style="29" customWidth="1"/>
    <col min="28" max="33" width="9.140625" style="29"/>
    <col min="34" max="34" width="11" style="29" customWidth="1"/>
    <col min="35" max="35" width="12.42578125" style="29" customWidth="1"/>
    <col min="36" max="36" width="10.42578125" style="29" customWidth="1"/>
    <col min="37" max="37" width="10.7109375" style="29" customWidth="1"/>
    <col min="38" max="38" width="12.42578125" style="29" customWidth="1"/>
    <col min="39" max="39" width="10.42578125" style="29" customWidth="1"/>
    <col min="40" max="40" width="11.7109375" style="29" customWidth="1"/>
    <col min="41" max="41" width="10.42578125" style="29" customWidth="1"/>
    <col min="42" max="43" width="9.140625" style="29"/>
    <col min="44" max="44" width="10.140625" style="29" customWidth="1"/>
    <col min="45" max="16384" width="9.140625" style="29"/>
  </cols>
  <sheetData>
    <row r="1" spans="1:53" x14ac:dyDescent="0.2">
      <c r="L1" s="30"/>
      <c r="O1" s="25"/>
      <c r="U1" s="66"/>
    </row>
    <row r="2" spans="1:53" ht="13.5" thickBot="1" x14ac:dyDescent="0.25">
      <c r="L2" s="30"/>
      <c r="O2" s="25"/>
      <c r="U2" s="66"/>
    </row>
    <row r="3" spans="1:53" ht="13.5" thickTop="1" x14ac:dyDescent="0.2">
      <c r="A3" s="35"/>
      <c r="B3" s="709" t="s">
        <v>527</v>
      </c>
      <c r="C3" s="736"/>
      <c r="D3" s="736"/>
      <c r="E3" s="736"/>
      <c r="F3" s="736"/>
      <c r="G3" s="736"/>
      <c r="H3" s="736"/>
      <c r="I3" s="736"/>
      <c r="J3" s="736"/>
      <c r="K3" s="62"/>
      <c r="L3" s="43"/>
      <c r="M3" s="43"/>
      <c r="N3" s="43"/>
      <c r="O3" s="43"/>
      <c r="P3" s="43"/>
      <c r="Q3" s="43"/>
      <c r="R3" s="43"/>
      <c r="S3" s="43"/>
      <c r="T3" s="43"/>
      <c r="U3" s="69"/>
      <c r="V3" s="69"/>
      <c r="W3" s="45"/>
      <c r="X3" s="45"/>
      <c r="Y3" s="45"/>
      <c r="AH3" s="45"/>
      <c r="AR3" s="45"/>
      <c r="AS3" s="45"/>
      <c r="AT3" s="45"/>
      <c r="AU3" s="45"/>
      <c r="AV3" s="45"/>
      <c r="AW3" s="45"/>
      <c r="AX3" s="45"/>
      <c r="AY3" s="45"/>
      <c r="AZ3" s="45"/>
      <c r="BA3" s="45"/>
    </row>
    <row r="4" spans="1:53" ht="13.5" thickBot="1" x14ac:dyDescent="0.25">
      <c r="A4" s="45"/>
      <c r="B4" s="737"/>
      <c r="C4" s="737"/>
      <c r="D4" s="737"/>
      <c r="E4" s="737"/>
      <c r="F4" s="737"/>
      <c r="G4" s="737"/>
      <c r="H4" s="737"/>
      <c r="I4" s="737"/>
      <c r="J4" s="737"/>
      <c r="K4" s="25"/>
      <c r="L4" s="43"/>
      <c r="M4" s="43"/>
      <c r="N4" s="43"/>
      <c r="O4" s="43"/>
      <c r="P4" s="43"/>
      <c r="Q4" s="43"/>
      <c r="R4" s="43"/>
      <c r="S4" s="43"/>
      <c r="T4" s="43"/>
      <c r="U4" s="69"/>
      <c r="V4" s="69"/>
      <c r="W4" s="25"/>
      <c r="X4" s="25"/>
      <c r="Y4" s="25"/>
      <c r="AR4" s="45"/>
      <c r="AS4" s="45"/>
      <c r="AT4" s="45"/>
      <c r="AU4" s="45"/>
      <c r="AV4" s="45"/>
      <c r="AW4" s="45"/>
      <c r="AX4" s="45"/>
      <c r="AY4" s="45"/>
      <c r="AZ4" s="45"/>
      <c r="BA4" s="45"/>
    </row>
    <row r="5" spans="1:53" x14ac:dyDescent="0.2">
      <c r="B5" s="738" t="s">
        <v>16</v>
      </c>
      <c r="C5" s="323"/>
      <c r="D5" s="41" t="s">
        <v>17</v>
      </c>
      <c r="E5" s="41" t="s">
        <v>18</v>
      </c>
      <c r="F5" s="41" t="s">
        <v>19</v>
      </c>
      <c r="G5" s="41" t="s">
        <v>20</v>
      </c>
      <c r="H5" s="41" t="s">
        <v>21</v>
      </c>
      <c r="I5" s="41" t="s">
        <v>22</v>
      </c>
      <c r="J5" s="88" t="s">
        <v>23</v>
      </c>
      <c r="K5" s="46"/>
      <c r="L5" s="42"/>
      <c r="M5" s="42"/>
      <c r="N5" s="42"/>
      <c r="O5" s="62"/>
      <c r="P5" s="62"/>
      <c r="Q5" s="62"/>
      <c r="R5" s="62"/>
      <c r="S5" s="62"/>
      <c r="T5" s="62"/>
      <c r="W5" s="62"/>
      <c r="X5" s="62"/>
      <c r="Y5" s="62"/>
      <c r="AH5" s="45"/>
      <c r="AI5" s="45"/>
      <c r="AJ5" s="45"/>
      <c r="AK5" s="25"/>
      <c r="AL5" s="45"/>
      <c r="AM5" s="25"/>
      <c r="AN5" s="25"/>
      <c r="AO5" s="25"/>
      <c r="AR5" s="45"/>
      <c r="AS5" s="45"/>
      <c r="AT5" s="45"/>
      <c r="AU5" s="45"/>
      <c r="AV5" s="45"/>
      <c r="AW5" s="45"/>
      <c r="AX5" s="45"/>
      <c r="AY5" s="45"/>
      <c r="AZ5" s="45"/>
      <c r="BA5" s="45"/>
    </row>
    <row r="6" spans="1:53" ht="12.75" customHeight="1" x14ac:dyDescent="0.2">
      <c r="B6" s="753" t="s">
        <v>523</v>
      </c>
      <c r="C6" s="754"/>
      <c r="D6" s="757" t="s">
        <v>44</v>
      </c>
      <c r="E6" s="615"/>
      <c r="F6" s="754"/>
      <c r="G6" s="745" t="s">
        <v>125</v>
      </c>
      <c r="H6" s="745" t="s">
        <v>33</v>
      </c>
      <c r="I6" s="745" t="s">
        <v>126</v>
      </c>
      <c r="J6" s="747" t="s">
        <v>127</v>
      </c>
      <c r="L6" s="69"/>
      <c r="M6" s="69"/>
      <c r="N6" s="69"/>
      <c r="O6" s="62"/>
      <c r="P6" s="62"/>
      <c r="Q6" s="62"/>
      <c r="S6" s="45"/>
      <c r="W6" s="45"/>
      <c r="X6" s="45"/>
      <c r="Y6" s="45"/>
      <c r="AH6" s="45"/>
      <c r="AI6" s="45"/>
      <c r="AJ6" s="25"/>
      <c r="AK6" s="25"/>
      <c r="AL6" s="25"/>
      <c r="AM6" s="25"/>
      <c r="AN6" s="25"/>
      <c r="AO6" s="25"/>
      <c r="AR6" s="45"/>
      <c r="AS6" s="45"/>
      <c r="AT6" s="45"/>
      <c r="AU6" s="45"/>
      <c r="AV6" s="45"/>
      <c r="AW6" s="45"/>
      <c r="AX6" s="45"/>
      <c r="AY6" s="45"/>
      <c r="AZ6" s="45"/>
      <c r="BA6" s="45"/>
    </row>
    <row r="7" spans="1:53" x14ac:dyDescent="0.2">
      <c r="B7" s="671"/>
      <c r="C7" s="498"/>
      <c r="D7" s="758"/>
      <c r="E7" s="759"/>
      <c r="F7" s="760"/>
      <c r="G7" s="339"/>
      <c r="H7" s="390"/>
      <c r="I7" s="339"/>
      <c r="J7" s="748"/>
      <c r="L7" s="39"/>
      <c r="M7" s="25"/>
      <c r="N7" s="25"/>
      <c r="O7" s="40"/>
      <c r="P7" s="40"/>
      <c r="Q7" s="40"/>
      <c r="R7" s="40"/>
      <c r="S7" s="40"/>
      <c r="T7" s="40"/>
      <c r="U7" s="40"/>
      <c r="V7" s="40"/>
      <c r="W7" s="25"/>
      <c r="X7" s="45"/>
      <c r="Y7" s="25"/>
      <c r="AH7" s="25"/>
      <c r="AI7" s="25"/>
      <c r="AJ7" s="25"/>
      <c r="AK7" s="25"/>
      <c r="AL7" s="84"/>
      <c r="AM7" s="84"/>
      <c r="AN7" s="84"/>
      <c r="AO7" s="84"/>
      <c r="AR7" s="31"/>
      <c r="AS7" s="28"/>
      <c r="AT7" s="28"/>
      <c r="AU7" s="28"/>
      <c r="AV7" s="28"/>
      <c r="AW7" s="28"/>
      <c r="AX7" s="28"/>
      <c r="AY7" s="28"/>
      <c r="AZ7" s="28"/>
      <c r="BA7" s="28"/>
    </row>
    <row r="8" spans="1:53" ht="12.75" customHeight="1" x14ac:dyDescent="0.2">
      <c r="B8" s="671"/>
      <c r="C8" s="498"/>
      <c r="D8" s="761"/>
      <c r="E8" s="619"/>
      <c r="F8" s="500"/>
      <c r="G8" s="339"/>
      <c r="H8" s="390"/>
      <c r="I8" s="746"/>
      <c r="J8" s="749"/>
      <c r="K8" s="47"/>
      <c r="O8" s="37"/>
      <c r="P8" s="37"/>
      <c r="Q8" s="37"/>
      <c r="R8" s="37"/>
      <c r="S8" s="37"/>
      <c r="T8" s="37"/>
      <c r="U8" s="37"/>
      <c r="V8" s="37"/>
      <c r="W8" s="25"/>
      <c r="X8" s="25"/>
      <c r="Y8" s="25"/>
      <c r="AH8" s="25"/>
      <c r="AI8" s="25"/>
      <c r="AJ8" s="25"/>
      <c r="AK8" s="25"/>
      <c r="AL8" s="85"/>
      <c r="AM8" s="85"/>
      <c r="AN8" s="85"/>
      <c r="AO8" s="85"/>
      <c r="AR8" s="31"/>
      <c r="AS8" s="28"/>
      <c r="AT8" s="28"/>
      <c r="AU8" s="28"/>
      <c r="AV8" s="28"/>
      <c r="AW8" s="28"/>
      <c r="AX8" s="28"/>
      <c r="AY8" s="28"/>
      <c r="AZ8" s="28"/>
      <c r="BA8" s="28"/>
    </row>
    <row r="9" spans="1:53" x14ac:dyDescent="0.2">
      <c r="A9" s="45"/>
      <c r="B9" s="671"/>
      <c r="C9" s="498"/>
      <c r="D9" s="750" t="s">
        <v>111</v>
      </c>
      <c r="E9" s="750" t="s">
        <v>137</v>
      </c>
      <c r="F9" s="750" t="s">
        <v>112</v>
      </c>
      <c r="G9" s="339"/>
      <c r="H9" s="390"/>
      <c r="I9" s="750" t="s">
        <v>128</v>
      </c>
      <c r="J9" s="742" t="s">
        <v>129</v>
      </c>
      <c r="K9" s="46"/>
      <c r="M9" s="71"/>
      <c r="N9" s="71"/>
      <c r="O9" s="72"/>
      <c r="P9" s="72"/>
      <c r="Q9" s="72"/>
      <c r="R9" s="34"/>
      <c r="S9" s="34"/>
      <c r="T9" s="34"/>
      <c r="U9" s="34"/>
      <c r="V9" s="34"/>
      <c r="AH9" s="39"/>
      <c r="AI9" s="25"/>
      <c r="AJ9" s="52"/>
      <c r="AK9" s="25"/>
      <c r="AL9" s="83"/>
      <c r="AM9" s="83"/>
      <c r="AN9" s="86"/>
      <c r="AO9" s="86"/>
      <c r="AR9" s="31"/>
      <c r="AS9" s="28"/>
      <c r="AT9" s="28"/>
      <c r="AU9" s="28"/>
      <c r="AV9" s="28"/>
      <c r="AW9" s="28"/>
      <c r="AX9" s="28"/>
      <c r="AY9" s="28"/>
      <c r="AZ9" s="28"/>
      <c r="BA9" s="28"/>
    </row>
    <row r="10" spans="1:53" x14ac:dyDescent="0.2">
      <c r="A10" s="45"/>
      <c r="B10" s="671"/>
      <c r="C10" s="498"/>
      <c r="D10" s="390"/>
      <c r="E10" s="390"/>
      <c r="F10" s="390"/>
      <c r="G10" s="746"/>
      <c r="H10" s="746"/>
      <c r="I10" s="750"/>
      <c r="J10" s="742"/>
      <c r="K10" s="46"/>
      <c r="M10" s="71"/>
      <c r="N10" s="71"/>
      <c r="O10" s="72"/>
      <c r="P10" s="72"/>
      <c r="Q10" s="72"/>
      <c r="R10" s="34"/>
      <c r="S10" s="34"/>
      <c r="T10" s="34"/>
      <c r="U10" s="34"/>
      <c r="V10" s="34"/>
      <c r="AH10" s="39"/>
      <c r="AI10" s="25"/>
      <c r="AJ10" s="52"/>
      <c r="AK10" s="25"/>
      <c r="AL10" s="83"/>
      <c r="AM10" s="83"/>
      <c r="AN10" s="86"/>
      <c r="AO10" s="86"/>
      <c r="AR10" s="31"/>
      <c r="AS10" s="28"/>
      <c r="AT10" s="28"/>
      <c r="AU10" s="28"/>
      <c r="AV10" s="28"/>
      <c r="AW10" s="28"/>
      <c r="AX10" s="28"/>
      <c r="AY10" s="28"/>
      <c r="AZ10" s="28"/>
      <c r="BA10" s="28"/>
    </row>
    <row r="11" spans="1:53" ht="13.5" thickBot="1" x14ac:dyDescent="0.25">
      <c r="A11" s="31"/>
      <c r="B11" s="755"/>
      <c r="C11" s="756"/>
      <c r="D11" s="751"/>
      <c r="E11" s="751"/>
      <c r="F11" s="751"/>
      <c r="G11" s="751"/>
      <c r="H11" s="751"/>
      <c r="I11" s="751"/>
      <c r="J11" s="743"/>
      <c r="K11" s="66"/>
      <c r="L11" s="70"/>
      <c r="M11" s="71"/>
      <c r="N11" s="71"/>
      <c r="O11" s="34"/>
      <c r="P11" s="34"/>
      <c r="Q11" s="34"/>
      <c r="R11" s="34"/>
      <c r="S11" s="34"/>
      <c r="T11" s="34"/>
      <c r="U11" s="34"/>
      <c r="V11" s="34"/>
      <c r="W11" s="11"/>
      <c r="X11" s="11"/>
      <c r="Y11" s="11"/>
      <c r="AH11" s="25"/>
      <c r="AI11" s="25"/>
      <c r="AJ11" s="25"/>
      <c r="AK11" s="25"/>
      <c r="AL11" s="83"/>
      <c r="AM11" s="83"/>
      <c r="AN11" s="83"/>
      <c r="AO11" s="83"/>
      <c r="AR11" s="31"/>
      <c r="AS11" s="28"/>
      <c r="AT11" s="28"/>
      <c r="AU11" s="28"/>
      <c r="AV11" s="28"/>
      <c r="AW11" s="28"/>
      <c r="AX11" s="28"/>
      <c r="AY11" s="28"/>
      <c r="AZ11" s="28"/>
      <c r="BA11" s="28"/>
    </row>
    <row r="12" spans="1:53" x14ac:dyDescent="0.2">
      <c r="A12" s="31"/>
      <c r="B12" s="744" t="s">
        <v>113</v>
      </c>
      <c r="C12" s="744"/>
      <c r="D12" s="744"/>
      <c r="E12" s="744"/>
      <c r="F12" s="744"/>
      <c r="G12" s="744"/>
      <c r="H12" s="744"/>
      <c r="I12" s="744"/>
      <c r="J12" s="744"/>
      <c r="K12" s="66"/>
      <c r="L12" s="70"/>
      <c r="M12" s="71"/>
      <c r="N12" s="71"/>
      <c r="O12" s="34"/>
      <c r="P12" s="34"/>
      <c r="Q12" s="34"/>
      <c r="R12" s="34"/>
      <c r="S12" s="34"/>
      <c r="T12" s="34"/>
      <c r="U12" s="34"/>
      <c r="V12" s="34"/>
      <c r="W12" s="11"/>
      <c r="X12" s="11"/>
      <c r="Y12" s="11"/>
      <c r="AH12" s="25"/>
      <c r="AI12" s="25"/>
      <c r="AJ12" s="25"/>
      <c r="AK12" s="25"/>
      <c r="AL12" s="83"/>
      <c r="AM12" s="83"/>
      <c r="AN12" s="83"/>
      <c r="AO12" s="83"/>
      <c r="AR12" s="31"/>
      <c r="AS12" s="28"/>
      <c r="AT12" s="28"/>
      <c r="AU12" s="28"/>
      <c r="AV12" s="28"/>
      <c r="AW12" s="28"/>
      <c r="AX12" s="28"/>
      <c r="AY12" s="28"/>
      <c r="AZ12" s="28"/>
      <c r="BA12" s="28"/>
    </row>
    <row r="13" spans="1:53" x14ac:dyDescent="0.2">
      <c r="A13" s="31"/>
      <c r="B13" s="752" t="s">
        <v>524</v>
      </c>
      <c r="C13" s="435"/>
      <c r="D13" s="435"/>
      <c r="E13" s="435"/>
      <c r="F13" s="435"/>
      <c r="G13" s="435"/>
      <c r="H13" s="435"/>
      <c r="I13" s="435"/>
      <c r="J13" s="435"/>
      <c r="K13" s="66"/>
      <c r="L13" s="70"/>
      <c r="M13" s="71"/>
      <c r="N13" s="71"/>
      <c r="O13" s="34"/>
      <c r="P13" s="34"/>
      <c r="Q13" s="34"/>
      <c r="R13" s="34"/>
      <c r="S13" s="34"/>
      <c r="T13" s="34"/>
      <c r="U13" s="34"/>
      <c r="V13" s="34"/>
      <c r="W13" s="11"/>
      <c r="X13" s="11"/>
      <c r="Y13" s="11"/>
      <c r="AH13" s="25"/>
      <c r="AI13" s="25"/>
      <c r="AJ13" s="25"/>
      <c r="AK13" s="25"/>
      <c r="AL13" s="83"/>
      <c r="AM13" s="83"/>
      <c r="AN13" s="83"/>
      <c r="AO13" s="83"/>
      <c r="AR13" s="31"/>
      <c r="AS13" s="28"/>
      <c r="AT13" s="28"/>
      <c r="AU13" s="28"/>
      <c r="AV13" s="28"/>
      <c r="AW13" s="28"/>
      <c r="AX13" s="28"/>
      <c r="AY13" s="28"/>
      <c r="AZ13" s="28"/>
      <c r="BA13" s="28"/>
    </row>
    <row r="14" spans="1:53" x14ac:dyDescent="0.2">
      <c r="A14" s="31"/>
      <c r="B14" s="502" t="s">
        <v>649</v>
      </c>
      <c r="C14" s="333"/>
      <c r="D14" s="55">
        <f ca="1">IFERROR(INDIRECT(B14 &amp; "!" &amp; "$N$47"),0)</f>
        <v>0</v>
      </c>
      <c r="E14" s="55">
        <f ca="1">IFERROR(INDIRECT(B14 &amp; "!" &amp; "$N$48"),0)</f>
        <v>0</v>
      </c>
      <c r="F14" s="55">
        <f ca="1">IFERROR(INDIRECT(B14 &amp; "!" &amp; "$N$50"),0)</f>
        <v>0</v>
      </c>
      <c r="G14" s="235">
        <v>0</v>
      </c>
      <c r="H14" s="55">
        <f ca="1">IFERROR(INDIRECT(B14 &amp; "!" &amp; "$E$47"),0)</f>
        <v>0.84</v>
      </c>
      <c r="I14" s="91">
        <f ca="1">1/(1+H14*D14)</f>
        <v>1</v>
      </c>
      <c r="J14" s="57">
        <f ca="1">+I14*+D14+((1-I14)*G14)</f>
        <v>0</v>
      </c>
      <c r="K14" s="66"/>
      <c r="L14" s="70"/>
      <c r="M14" s="71"/>
      <c r="N14" s="71"/>
      <c r="O14" s="34"/>
      <c r="P14" s="34"/>
      <c r="Q14" s="34"/>
      <c r="R14" s="34"/>
      <c r="S14" s="34"/>
      <c r="T14" s="34"/>
      <c r="U14" s="34"/>
      <c r="V14" s="34"/>
      <c r="W14" s="11"/>
      <c r="X14" s="11"/>
      <c r="Y14" s="11"/>
      <c r="AH14" s="53"/>
      <c r="AI14" s="36"/>
      <c r="AJ14" s="52"/>
      <c r="AK14" s="25"/>
      <c r="AL14" s="83"/>
      <c r="AM14" s="83"/>
      <c r="AN14" s="86"/>
      <c r="AO14" s="86"/>
      <c r="AR14" s="81"/>
    </row>
    <row r="15" spans="1:53" x14ac:dyDescent="0.2">
      <c r="A15" s="31"/>
      <c r="B15" s="502" t="s">
        <v>650</v>
      </c>
      <c r="C15" s="333"/>
      <c r="D15" s="224">
        <f t="shared" ref="D15:D21" ca="1" si="0">IFERROR(INDIRECT(B15 &amp; "!" &amp; "$N$47"),0)</f>
        <v>0</v>
      </c>
      <c r="E15" s="224">
        <f t="shared" ref="E15:E21" ca="1" si="1">IFERROR(INDIRECT(B15 &amp; "!" &amp; "$N$48"),0)</f>
        <v>0</v>
      </c>
      <c r="F15" s="224">
        <f t="shared" ref="F15:F21" ca="1" si="2">IFERROR(INDIRECT(B15 &amp; "!" &amp; "$N$50"),0)</f>
        <v>0</v>
      </c>
      <c r="G15" s="235">
        <v>0</v>
      </c>
      <c r="H15" s="224">
        <f t="shared" ref="H15:H21" ca="1" si="3">IFERROR(INDIRECT(B15 &amp; "!" &amp; "$E$47"),0)</f>
        <v>0</v>
      </c>
      <c r="I15" s="91">
        <f ca="1">1/(1+H15*D15)</f>
        <v>1</v>
      </c>
      <c r="J15" s="57">
        <f ca="1">+I15*+D15+((1-I15)*G15)</f>
        <v>0</v>
      </c>
      <c r="K15" s="66"/>
      <c r="L15" s="70"/>
      <c r="M15" s="71"/>
      <c r="N15" s="71"/>
      <c r="O15" s="34"/>
      <c r="P15" s="34"/>
      <c r="Q15" s="34"/>
      <c r="R15" s="34"/>
      <c r="S15" s="34"/>
      <c r="T15" s="34"/>
      <c r="U15" s="34"/>
      <c r="V15" s="34"/>
      <c r="W15" s="11"/>
      <c r="X15" s="11"/>
      <c r="Y15" s="11"/>
      <c r="AH15" s="36"/>
      <c r="AI15" s="36"/>
      <c r="AJ15" s="25"/>
      <c r="AK15" s="25"/>
      <c r="AL15" s="83"/>
      <c r="AM15" s="83"/>
      <c r="AN15" s="83"/>
      <c r="AO15" s="83"/>
    </row>
    <row r="16" spans="1:53" x14ac:dyDescent="0.2">
      <c r="A16" s="31"/>
      <c r="B16" s="502" t="s">
        <v>651</v>
      </c>
      <c r="C16" s="333"/>
      <c r="D16" s="224">
        <f t="shared" ca="1" si="0"/>
        <v>0</v>
      </c>
      <c r="E16" s="224">
        <f t="shared" ca="1" si="1"/>
        <v>0</v>
      </c>
      <c r="F16" s="224">
        <f t="shared" ca="1" si="2"/>
        <v>0</v>
      </c>
      <c r="G16" s="236">
        <v>0</v>
      </c>
      <c r="H16" s="224">
        <f t="shared" ca="1" si="3"/>
        <v>0</v>
      </c>
      <c r="I16" s="91">
        <f t="shared" ref="I16:I32" ca="1" si="4">1/(1+H16*D16)</f>
        <v>1</v>
      </c>
      <c r="J16" s="57">
        <f t="shared" ref="J16:J32" ca="1" si="5">+I16*+D16+((1-I16)*G16)</f>
        <v>0</v>
      </c>
      <c r="K16" s="66"/>
      <c r="L16" s="70"/>
      <c r="M16" s="71"/>
      <c r="N16" s="71"/>
      <c r="O16" s="34"/>
      <c r="P16" s="34"/>
      <c r="Q16" s="34"/>
      <c r="R16" s="34"/>
      <c r="S16" s="34"/>
      <c r="T16" s="34"/>
      <c r="U16" s="34"/>
      <c r="V16" s="34"/>
      <c r="W16" s="11"/>
      <c r="X16" s="11"/>
      <c r="Y16" s="11"/>
      <c r="AH16" s="36"/>
      <c r="AI16" s="36"/>
      <c r="AJ16" s="52"/>
      <c r="AK16" s="28"/>
      <c r="AL16" s="28"/>
      <c r="AM16" s="28"/>
      <c r="AN16" s="28"/>
      <c r="AO16" s="28"/>
    </row>
    <row r="17" spans="1:48" x14ac:dyDescent="0.2">
      <c r="A17" s="31"/>
      <c r="B17" s="502" t="s">
        <v>652</v>
      </c>
      <c r="C17" s="333"/>
      <c r="D17" s="224">
        <f t="shared" ca="1" si="0"/>
        <v>0</v>
      </c>
      <c r="E17" s="224">
        <f t="shared" ca="1" si="1"/>
        <v>0</v>
      </c>
      <c r="F17" s="224">
        <f t="shared" ca="1" si="2"/>
        <v>0</v>
      </c>
      <c r="G17" s="237">
        <v>0</v>
      </c>
      <c r="H17" s="224">
        <f t="shared" ca="1" si="3"/>
        <v>0</v>
      </c>
      <c r="I17" s="91">
        <f t="shared" ca="1" si="4"/>
        <v>1</v>
      </c>
      <c r="J17" s="57">
        <f t="shared" ca="1" si="5"/>
        <v>0</v>
      </c>
      <c r="K17" s="66"/>
      <c r="L17" s="70"/>
      <c r="M17" s="71"/>
      <c r="N17" s="71"/>
      <c r="O17" s="34"/>
      <c r="P17" s="34"/>
      <c r="Q17" s="34"/>
      <c r="R17" s="34"/>
      <c r="S17" s="34"/>
      <c r="T17" s="34"/>
      <c r="U17" s="34"/>
      <c r="V17" s="34"/>
      <c r="W17" s="11"/>
      <c r="X17" s="11"/>
      <c r="Y17" s="11"/>
      <c r="AH17" s="80"/>
      <c r="AI17" s="80"/>
      <c r="AJ17" s="75"/>
      <c r="AK17" s="75"/>
      <c r="AL17" s="75"/>
      <c r="AM17" s="75"/>
      <c r="AN17" s="75"/>
      <c r="AO17" s="75"/>
    </row>
    <row r="18" spans="1:48" s="227" customFormat="1" x14ac:dyDescent="0.2">
      <c r="A18" s="31"/>
      <c r="B18" s="502" t="s">
        <v>653</v>
      </c>
      <c r="C18" s="333"/>
      <c r="D18" s="224">
        <f t="shared" ca="1" si="0"/>
        <v>0</v>
      </c>
      <c r="E18" s="224">
        <f t="shared" ca="1" si="1"/>
        <v>0</v>
      </c>
      <c r="F18" s="224">
        <f t="shared" ca="1" si="2"/>
        <v>0</v>
      </c>
      <c r="G18" s="237">
        <v>0</v>
      </c>
      <c r="H18" s="224">
        <f t="shared" ca="1" si="3"/>
        <v>0</v>
      </c>
      <c r="I18" s="91">
        <f t="shared" ref="I18:I21" ca="1" si="6">1/(1+H18*D18)</f>
        <v>1</v>
      </c>
      <c r="J18" s="225">
        <f t="shared" ref="J18:J21" ca="1" si="7">+I18*+D18+((1-I18)*G18)</f>
        <v>0</v>
      </c>
      <c r="K18" s="66"/>
      <c r="L18" s="70"/>
      <c r="M18" s="71"/>
      <c r="N18" s="71"/>
      <c r="O18" s="34"/>
      <c r="P18" s="34"/>
      <c r="Q18" s="34"/>
      <c r="R18" s="34"/>
      <c r="S18" s="34"/>
      <c r="T18" s="34"/>
      <c r="U18" s="34"/>
      <c r="V18" s="34"/>
      <c r="W18" s="11"/>
      <c r="X18" s="11"/>
      <c r="Y18" s="11"/>
      <c r="AH18" s="80"/>
      <c r="AI18" s="80"/>
      <c r="AJ18" s="75"/>
      <c r="AK18" s="75"/>
      <c r="AL18" s="75"/>
      <c r="AM18" s="75"/>
      <c r="AN18" s="75"/>
      <c r="AO18" s="75"/>
    </row>
    <row r="19" spans="1:48" s="227" customFormat="1" x14ac:dyDescent="0.2">
      <c r="A19" s="31"/>
      <c r="B19" s="502" t="s">
        <v>654</v>
      </c>
      <c r="C19" s="333"/>
      <c r="D19" s="224">
        <f t="shared" ca="1" si="0"/>
        <v>0</v>
      </c>
      <c r="E19" s="224">
        <f t="shared" ca="1" si="1"/>
        <v>0</v>
      </c>
      <c r="F19" s="224">
        <f t="shared" ca="1" si="2"/>
        <v>0</v>
      </c>
      <c r="G19" s="237">
        <v>0</v>
      </c>
      <c r="H19" s="224">
        <f t="shared" ca="1" si="3"/>
        <v>0</v>
      </c>
      <c r="I19" s="91">
        <f t="shared" ca="1" si="6"/>
        <v>1</v>
      </c>
      <c r="J19" s="225">
        <f t="shared" ca="1" si="7"/>
        <v>0</v>
      </c>
      <c r="K19" s="66"/>
      <c r="L19" s="70"/>
      <c r="M19" s="71"/>
      <c r="N19" s="71"/>
      <c r="O19" s="34"/>
      <c r="P19" s="34"/>
      <c r="Q19" s="34"/>
      <c r="R19" s="34"/>
      <c r="S19" s="34"/>
      <c r="T19" s="34"/>
      <c r="U19" s="34"/>
      <c r="V19" s="34"/>
      <c r="W19" s="11"/>
      <c r="X19" s="11"/>
      <c r="Y19" s="11"/>
      <c r="AH19" s="80"/>
      <c r="AI19" s="80"/>
      <c r="AJ19" s="75"/>
      <c r="AK19" s="75"/>
      <c r="AL19" s="75"/>
      <c r="AM19" s="75"/>
      <c r="AN19" s="75"/>
      <c r="AO19" s="75"/>
    </row>
    <row r="20" spans="1:48" s="227" customFormat="1" x14ac:dyDescent="0.2">
      <c r="A20" s="31"/>
      <c r="B20" s="502" t="s">
        <v>655</v>
      </c>
      <c r="C20" s="333"/>
      <c r="D20" s="224">
        <f t="shared" ca="1" si="0"/>
        <v>0</v>
      </c>
      <c r="E20" s="224">
        <f t="shared" ca="1" si="1"/>
        <v>0</v>
      </c>
      <c r="F20" s="224">
        <f t="shared" ca="1" si="2"/>
        <v>0</v>
      </c>
      <c r="G20" s="237">
        <v>0</v>
      </c>
      <c r="H20" s="224">
        <f t="shared" ca="1" si="3"/>
        <v>0</v>
      </c>
      <c r="I20" s="91">
        <f t="shared" ca="1" si="6"/>
        <v>1</v>
      </c>
      <c r="J20" s="225">
        <f t="shared" ca="1" si="7"/>
        <v>0</v>
      </c>
      <c r="K20" s="66"/>
      <c r="L20" s="70"/>
      <c r="M20" s="71"/>
      <c r="N20" s="71"/>
      <c r="O20" s="34"/>
      <c r="P20" s="34"/>
      <c r="Q20" s="34"/>
      <c r="R20" s="34"/>
      <c r="S20" s="34"/>
      <c r="T20" s="34"/>
      <c r="U20" s="34"/>
      <c r="V20" s="34"/>
      <c r="W20" s="11"/>
      <c r="X20" s="11"/>
      <c r="Y20" s="11"/>
      <c r="AH20" s="80"/>
      <c r="AI20" s="80"/>
      <c r="AJ20" s="75"/>
      <c r="AK20" s="75"/>
      <c r="AL20" s="75"/>
      <c r="AM20" s="75"/>
      <c r="AN20" s="75"/>
      <c r="AO20" s="75"/>
    </row>
    <row r="21" spans="1:48" s="227" customFormat="1" x14ac:dyDescent="0.2">
      <c r="A21" s="31"/>
      <c r="B21" s="502" t="s">
        <v>656</v>
      </c>
      <c r="C21" s="333"/>
      <c r="D21" s="224">
        <f t="shared" ca="1" si="0"/>
        <v>0</v>
      </c>
      <c r="E21" s="224">
        <f t="shared" ca="1" si="1"/>
        <v>0</v>
      </c>
      <c r="F21" s="224">
        <f t="shared" ca="1" si="2"/>
        <v>0</v>
      </c>
      <c r="G21" s="237">
        <v>0</v>
      </c>
      <c r="H21" s="224">
        <f t="shared" ca="1" si="3"/>
        <v>0</v>
      </c>
      <c r="I21" s="91">
        <f t="shared" ca="1" si="6"/>
        <v>1</v>
      </c>
      <c r="J21" s="225">
        <f t="shared" ca="1" si="7"/>
        <v>0</v>
      </c>
      <c r="K21" s="66"/>
      <c r="L21" s="70"/>
      <c r="M21" s="71"/>
      <c r="N21" s="71"/>
      <c r="O21" s="34"/>
      <c r="P21" s="34"/>
      <c r="Q21" s="34"/>
      <c r="R21" s="34"/>
      <c r="S21" s="34"/>
      <c r="T21" s="34"/>
      <c r="U21" s="34"/>
      <c r="V21" s="34"/>
      <c r="W21" s="11"/>
      <c r="X21" s="11"/>
      <c r="Y21" s="11"/>
      <c r="AH21" s="80"/>
      <c r="AI21" s="80"/>
      <c r="AJ21" s="75"/>
      <c r="AK21" s="75"/>
      <c r="AL21" s="75"/>
      <c r="AM21" s="75"/>
      <c r="AN21" s="75"/>
      <c r="AO21" s="75"/>
    </row>
    <row r="22" spans="1:48" x14ac:dyDescent="0.2">
      <c r="A22" s="31"/>
      <c r="B22" s="752" t="s">
        <v>525</v>
      </c>
      <c r="C22" s="435"/>
      <c r="D22" s="435"/>
      <c r="E22" s="435"/>
      <c r="F22" s="435"/>
      <c r="G22" s="435"/>
      <c r="H22" s="435"/>
      <c r="I22" s="435"/>
      <c r="J22" s="435"/>
      <c r="K22" s="66"/>
      <c r="L22" s="70"/>
      <c r="M22" s="71"/>
      <c r="N22" s="71"/>
      <c r="O22" s="34"/>
      <c r="P22" s="34"/>
      <c r="Q22" s="34"/>
      <c r="R22" s="34"/>
      <c r="S22" s="34"/>
      <c r="T22" s="34"/>
      <c r="U22" s="34"/>
      <c r="V22" s="34"/>
      <c r="W22" s="11"/>
      <c r="X22" s="11"/>
      <c r="Y22" s="11"/>
      <c r="AH22" s="80"/>
      <c r="AI22" s="80"/>
      <c r="AJ22" s="75"/>
      <c r="AK22" s="75"/>
      <c r="AL22" s="75"/>
      <c r="AM22" s="75"/>
      <c r="AN22" s="75"/>
      <c r="AO22" s="75"/>
    </row>
    <row r="23" spans="1:48" x14ac:dyDescent="0.2">
      <c r="A23" s="31"/>
      <c r="B23" s="502" t="s">
        <v>649</v>
      </c>
      <c r="C23" s="333"/>
      <c r="D23" s="55">
        <f ca="1">IFERROR(INDIRECT(B23 &amp; "!" &amp; "$N$79"),0)</f>
        <v>0</v>
      </c>
      <c r="E23" s="55">
        <f ca="1">IFERROR(INDIRECT(B23 &amp; "!" &amp; "$N$80"),0)</f>
        <v>0</v>
      </c>
      <c r="F23" s="55">
        <f ca="1">IFERROR(INDIRECT(B23 &amp; "!" &amp; "$N$82"),0)</f>
        <v>0</v>
      </c>
      <c r="G23" s="236">
        <v>0</v>
      </c>
      <c r="H23" s="55">
        <f ca="1">IFERROR(INDIRECT(B23 &amp; "!" &amp; "$E$79"),0)</f>
        <v>0.81</v>
      </c>
      <c r="I23" s="91">
        <f ca="1">1/(1+H23*D23)</f>
        <v>1</v>
      </c>
      <c r="J23" s="57">
        <f ca="1">+I23*+D23+((1-I23)*G23)</f>
        <v>0</v>
      </c>
      <c r="K23" s="66"/>
      <c r="L23" s="70"/>
      <c r="M23" s="71"/>
      <c r="N23" s="71"/>
      <c r="O23" s="34"/>
      <c r="P23" s="34"/>
      <c r="Q23" s="34"/>
      <c r="R23" s="34"/>
      <c r="S23" s="34"/>
      <c r="T23" s="34"/>
      <c r="U23" s="34"/>
      <c r="V23" s="34"/>
      <c r="W23" s="11"/>
      <c r="X23" s="11"/>
      <c r="Y23" s="11"/>
      <c r="AH23" s="80"/>
      <c r="AI23" s="80"/>
      <c r="AJ23" s="75"/>
      <c r="AK23" s="75"/>
      <c r="AL23" s="75"/>
      <c r="AM23" s="75"/>
      <c r="AN23" s="75"/>
      <c r="AO23" s="75"/>
    </row>
    <row r="24" spans="1:48" x14ac:dyDescent="0.2">
      <c r="A24" s="31"/>
      <c r="B24" s="502" t="s">
        <v>650</v>
      </c>
      <c r="C24" s="333"/>
      <c r="D24" s="224">
        <f t="shared" ref="D24:D30" ca="1" si="8">IFERROR(INDIRECT(B15 &amp; "!" &amp; "$N$79"),0)</f>
        <v>0</v>
      </c>
      <c r="E24" s="224">
        <f t="shared" ref="E24:E30" ca="1" si="9">IFERROR(INDIRECT(B24 &amp; "!" &amp; "$N$80"),0)</f>
        <v>0</v>
      </c>
      <c r="F24" s="224">
        <f t="shared" ref="F24:F30" ca="1" si="10">IFERROR(INDIRECT(B24 &amp; "!" &amp; "$N$82"),0)</f>
        <v>0</v>
      </c>
      <c r="G24" s="238">
        <v>0</v>
      </c>
      <c r="H24" s="224">
        <f t="shared" ref="H24:H30" ca="1" si="11">IFERROR(INDIRECT(B24 &amp; "!" &amp; "$E$79"),0)</f>
        <v>0</v>
      </c>
      <c r="I24" s="91">
        <f t="shared" ref="I24:I30" ca="1" si="12">1/(1+H24*D24)</f>
        <v>1</v>
      </c>
      <c r="J24" s="225">
        <f t="shared" ref="J24:J30" ca="1" si="13">+I24*+D24+((1-I24)*G24)</f>
        <v>0</v>
      </c>
      <c r="K24" s="66"/>
      <c r="L24" s="70"/>
      <c r="M24" s="71"/>
      <c r="N24" s="71"/>
      <c r="O24" s="34"/>
      <c r="P24" s="34"/>
      <c r="Q24" s="34"/>
      <c r="R24" s="34"/>
      <c r="S24" s="34"/>
      <c r="T24" s="34"/>
      <c r="U24" s="34"/>
      <c r="V24" s="34"/>
      <c r="W24" s="11"/>
      <c r="X24" s="11"/>
      <c r="Y24" s="11"/>
      <c r="AH24" s="80"/>
      <c r="AI24" s="80"/>
      <c r="AJ24" s="75"/>
      <c r="AK24" s="75"/>
      <c r="AL24" s="75"/>
      <c r="AM24" s="75"/>
      <c r="AN24" s="75"/>
      <c r="AO24" s="75"/>
    </row>
    <row r="25" spans="1:48" x14ac:dyDescent="0.2">
      <c r="A25" s="31"/>
      <c r="B25" s="502" t="s">
        <v>651</v>
      </c>
      <c r="C25" s="333"/>
      <c r="D25" s="224">
        <f t="shared" ca="1" si="8"/>
        <v>0</v>
      </c>
      <c r="E25" s="224">
        <f t="shared" ca="1" si="9"/>
        <v>0</v>
      </c>
      <c r="F25" s="224">
        <f t="shared" ca="1" si="10"/>
        <v>0</v>
      </c>
      <c r="G25" s="236">
        <v>0</v>
      </c>
      <c r="H25" s="224">
        <f t="shared" ca="1" si="11"/>
        <v>0</v>
      </c>
      <c r="I25" s="91">
        <f t="shared" ca="1" si="12"/>
        <v>1</v>
      </c>
      <c r="J25" s="225">
        <f t="shared" ca="1" si="13"/>
        <v>0</v>
      </c>
      <c r="K25" s="66"/>
      <c r="L25" s="70"/>
      <c r="M25" s="71"/>
      <c r="N25" s="71"/>
      <c r="O25" s="34"/>
      <c r="P25" s="34"/>
      <c r="Q25" s="34"/>
      <c r="R25" s="34"/>
      <c r="S25" s="34"/>
      <c r="T25" s="34"/>
      <c r="U25" s="34"/>
      <c r="V25" s="34"/>
      <c r="W25" s="11"/>
      <c r="X25" s="11"/>
      <c r="Y25" s="11"/>
      <c r="AH25" s="80"/>
      <c r="AI25" s="80"/>
      <c r="AJ25" s="75"/>
      <c r="AK25" s="75"/>
      <c r="AL25" s="75"/>
      <c r="AM25" s="75"/>
      <c r="AN25" s="75"/>
      <c r="AO25" s="75"/>
    </row>
    <row r="26" spans="1:48" s="227" customFormat="1" x14ac:dyDescent="0.2">
      <c r="A26" s="31"/>
      <c r="B26" s="502" t="s">
        <v>652</v>
      </c>
      <c r="C26" s="333"/>
      <c r="D26" s="224">
        <f t="shared" ca="1" si="8"/>
        <v>0</v>
      </c>
      <c r="E26" s="224">
        <f t="shared" ca="1" si="9"/>
        <v>0</v>
      </c>
      <c r="F26" s="224">
        <f t="shared" ca="1" si="10"/>
        <v>0</v>
      </c>
      <c r="G26" s="236">
        <v>0</v>
      </c>
      <c r="H26" s="224">
        <f t="shared" ca="1" si="11"/>
        <v>0</v>
      </c>
      <c r="I26" s="91">
        <f t="shared" ca="1" si="12"/>
        <v>1</v>
      </c>
      <c r="J26" s="225">
        <f t="shared" ca="1" si="13"/>
        <v>0</v>
      </c>
      <c r="K26" s="66"/>
      <c r="L26" s="70"/>
      <c r="M26" s="71"/>
      <c r="N26" s="71"/>
      <c r="O26" s="34"/>
      <c r="P26" s="34"/>
      <c r="Q26" s="34"/>
      <c r="R26" s="34"/>
      <c r="S26" s="34"/>
      <c r="T26" s="34"/>
      <c r="U26" s="34"/>
      <c r="V26" s="34"/>
      <c r="W26" s="11"/>
      <c r="X26" s="11"/>
      <c r="Y26" s="11"/>
      <c r="AH26" s="80"/>
      <c r="AI26" s="80"/>
      <c r="AJ26" s="75"/>
      <c r="AK26" s="75"/>
      <c r="AL26" s="75"/>
      <c r="AM26" s="75"/>
      <c r="AN26" s="75"/>
      <c r="AO26" s="75"/>
    </row>
    <row r="27" spans="1:48" s="227" customFormat="1" x14ac:dyDescent="0.2">
      <c r="A27" s="31"/>
      <c r="B27" s="502" t="s">
        <v>653</v>
      </c>
      <c r="C27" s="333"/>
      <c r="D27" s="224">
        <f t="shared" ca="1" si="8"/>
        <v>0</v>
      </c>
      <c r="E27" s="224">
        <f t="shared" ca="1" si="9"/>
        <v>0</v>
      </c>
      <c r="F27" s="224">
        <f t="shared" ca="1" si="10"/>
        <v>0</v>
      </c>
      <c r="G27" s="236">
        <v>0</v>
      </c>
      <c r="H27" s="224">
        <f t="shared" ca="1" si="11"/>
        <v>0</v>
      </c>
      <c r="I27" s="91">
        <f t="shared" ca="1" si="12"/>
        <v>1</v>
      </c>
      <c r="J27" s="225">
        <f t="shared" ca="1" si="13"/>
        <v>0</v>
      </c>
      <c r="K27" s="66"/>
      <c r="L27" s="70"/>
      <c r="M27" s="71"/>
      <c r="N27" s="71"/>
      <c r="O27" s="34"/>
      <c r="P27" s="34"/>
      <c r="Q27" s="34"/>
      <c r="R27" s="34"/>
      <c r="S27" s="34"/>
      <c r="T27" s="34"/>
      <c r="U27" s="34"/>
      <c r="V27" s="34"/>
      <c r="W27" s="11"/>
      <c r="X27" s="11"/>
      <c r="Y27" s="11"/>
      <c r="AH27" s="80"/>
      <c r="AI27" s="80"/>
      <c r="AJ27" s="75"/>
      <c r="AK27" s="75"/>
      <c r="AL27" s="75"/>
      <c r="AM27" s="75"/>
      <c r="AN27" s="75"/>
      <c r="AO27" s="75"/>
    </row>
    <row r="28" spans="1:48" s="227" customFormat="1" x14ac:dyDescent="0.2">
      <c r="A28" s="31"/>
      <c r="B28" s="502" t="s">
        <v>654</v>
      </c>
      <c r="C28" s="333"/>
      <c r="D28" s="224">
        <f t="shared" ca="1" si="8"/>
        <v>0</v>
      </c>
      <c r="E28" s="224">
        <f t="shared" ca="1" si="9"/>
        <v>0</v>
      </c>
      <c r="F28" s="224">
        <f t="shared" ca="1" si="10"/>
        <v>0</v>
      </c>
      <c r="G28" s="236">
        <v>0</v>
      </c>
      <c r="H28" s="224">
        <f t="shared" ca="1" si="11"/>
        <v>0</v>
      </c>
      <c r="I28" s="91">
        <f t="shared" ca="1" si="12"/>
        <v>1</v>
      </c>
      <c r="J28" s="225">
        <f t="shared" ca="1" si="13"/>
        <v>0</v>
      </c>
      <c r="K28" s="66"/>
      <c r="L28" s="70"/>
      <c r="M28" s="71"/>
      <c r="N28" s="71"/>
      <c r="O28" s="34"/>
      <c r="P28" s="34"/>
      <c r="Q28" s="34"/>
      <c r="R28" s="34"/>
      <c r="S28" s="34"/>
      <c r="T28" s="34"/>
      <c r="U28" s="34"/>
      <c r="V28" s="34"/>
      <c r="W28" s="11"/>
      <c r="X28" s="11"/>
      <c r="Y28" s="11"/>
      <c r="AH28" s="80"/>
      <c r="AI28" s="80"/>
      <c r="AJ28" s="75"/>
      <c r="AK28" s="75"/>
      <c r="AL28" s="75"/>
      <c r="AM28" s="75"/>
      <c r="AN28" s="75"/>
      <c r="AO28" s="75"/>
    </row>
    <row r="29" spans="1:48" s="227" customFormat="1" x14ac:dyDescent="0.2">
      <c r="A29" s="31"/>
      <c r="B29" s="502" t="s">
        <v>655</v>
      </c>
      <c r="C29" s="333"/>
      <c r="D29" s="224">
        <f t="shared" ca="1" si="8"/>
        <v>0</v>
      </c>
      <c r="E29" s="224">
        <f t="shared" ca="1" si="9"/>
        <v>0</v>
      </c>
      <c r="F29" s="224">
        <f t="shared" ca="1" si="10"/>
        <v>0</v>
      </c>
      <c r="G29" s="236">
        <v>0</v>
      </c>
      <c r="H29" s="224">
        <f t="shared" ca="1" si="11"/>
        <v>0</v>
      </c>
      <c r="I29" s="91">
        <f t="shared" ca="1" si="12"/>
        <v>1</v>
      </c>
      <c r="J29" s="225">
        <f t="shared" ca="1" si="13"/>
        <v>0</v>
      </c>
      <c r="K29" s="66"/>
      <c r="L29" s="70"/>
      <c r="M29" s="71"/>
      <c r="N29" s="71"/>
      <c r="O29" s="34"/>
      <c r="P29" s="34"/>
      <c r="Q29" s="34"/>
      <c r="R29" s="34"/>
      <c r="S29" s="34"/>
      <c r="T29" s="34"/>
      <c r="U29" s="34"/>
      <c r="V29" s="34"/>
      <c r="W29" s="11"/>
      <c r="X29" s="11"/>
      <c r="Y29" s="11"/>
      <c r="AH29" s="80"/>
      <c r="AI29" s="80"/>
      <c r="AJ29" s="75"/>
      <c r="AK29" s="75"/>
      <c r="AL29" s="75"/>
      <c r="AM29" s="75"/>
      <c r="AN29" s="75"/>
      <c r="AO29" s="75"/>
    </row>
    <row r="30" spans="1:48" x14ac:dyDescent="0.2">
      <c r="A30" s="31"/>
      <c r="B30" s="502" t="s">
        <v>656</v>
      </c>
      <c r="C30" s="333"/>
      <c r="D30" s="224">
        <f t="shared" ca="1" si="8"/>
        <v>0</v>
      </c>
      <c r="E30" s="224">
        <f t="shared" ca="1" si="9"/>
        <v>0</v>
      </c>
      <c r="F30" s="224">
        <f t="shared" ca="1" si="10"/>
        <v>0</v>
      </c>
      <c r="G30" s="235">
        <v>0</v>
      </c>
      <c r="H30" s="224">
        <f t="shared" ca="1" si="11"/>
        <v>0</v>
      </c>
      <c r="I30" s="91">
        <f t="shared" ca="1" si="12"/>
        <v>1</v>
      </c>
      <c r="J30" s="225">
        <f t="shared" ca="1" si="13"/>
        <v>0</v>
      </c>
      <c r="K30" s="66"/>
      <c r="L30" s="70"/>
      <c r="M30" s="71"/>
      <c r="N30" s="71"/>
      <c r="O30" s="34"/>
      <c r="P30" s="34"/>
      <c r="Q30" s="34"/>
      <c r="R30" s="34"/>
      <c r="S30" s="34"/>
      <c r="T30" s="34"/>
      <c r="U30" s="34"/>
      <c r="V30" s="34"/>
      <c r="W30" s="11"/>
      <c r="X30" s="11"/>
      <c r="Y30" s="11"/>
      <c r="AH30" s="80"/>
      <c r="AI30" s="80"/>
      <c r="AJ30" s="75"/>
      <c r="AK30" s="75"/>
      <c r="AL30" s="75"/>
      <c r="AM30" s="75"/>
      <c r="AN30" s="75"/>
      <c r="AO30" s="75"/>
    </row>
    <row r="31" spans="1:48" x14ac:dyDescent="0.2">
      <c r="A31" s="31"/>
      <c r="B31" s="752" t="s">
        <v>526</v>
      </c>
      <c r="C31" s="435"/>
      <c r="D31" s="435"/>
      <c r="E31" s="435"/>
      <c r="F31" s="435"/>
      <c r="G31" s="435"/>
      <c r="H31" s="435"/>
      <c r="I31" s="435"/>
      <c r="J31" s="435"/>
      <c r="K31" s="66"/>
      <c r="L31" s="70"/>
      <c r="M31" s="71"/>
      <c r="N31" s="71"/>
      <c r="O31" s="34"/>
      <c r="P31" s="34"/>
      <c r="Q31" s="34"/>
      <c r="R31" s="34"/>
      <c r="S31" s="34"/>
      <c r="T31" s="34"/>
      <c r="U31" s="34"/>
      <c r="V31" s="34"/>
      <c r="W31" s="11"/>
      <c r="X31" s="11"/>
      <c r="Y31" s="11"/>
      <c r="AH31" s="80"/>
      <c r="AI31" s="80"/>
      <c r="AJ31" s="75"/>
      <c r="AK31" s="75"/>
      <c r="AL31" s="75"/>
      <c r="AM31" s="75"/>
      <c r="AN31" s="75"/>
      <c r="AO31" s="75"/>
    </row>
    <row r="32" spans="1:48" x14ac:dyDescent="0.2">
      <c r="A32" s="31"/>
      <c r="B32" s="502" t="s">
        <v>649</v>
      </c>
      <c r="C32" s="333"/>
      <c r="D32" s="55">
        <f ca="1">IFERROR(INDIRECT(B32 &amp; "!" &amp; "$M$126"),0)</f>
        <v>0</v>
      </c>
      <c r="E32" s="55">
        <f ca="1">IFERROR(INDIRECT(B32 &amp; "!" &amp; "$M$127"),0)</f>
        <v>0</v>
      </c>
      <c r="F32" s="55">
        <f ca="1">IFERROR(INDIRECT(B32 &amp; "!" &amp; "$M$128"),0)</f>
        <v>0</v>
      </c>
      <c r="G32" s="236">
        <v>0</v>
      </c>
      <c r="H32" s="55">
        <f ca="1">IFERROR(INDIRECT(B32 &amp; "!" &amp; "$M$116"),0)</f>
        <v>0.81</v>
      </c>
      <c r="I32" s="91">
        <f t="shared" ca="1" si="4"/>
        <v>1</v>
      </c>
      <c r="J32" s="57">
        <f t="shared" ca="1" si="5"/>
        <v>0</v>
      </c>
      <c r="K32" s="66"/>
      <c r="L32" s="31"/>
      <c r="O32" s="34"/>
      <c r="P32" s="34"/>
      <c r="Q32" s="34"/>
      <c r="R32" s="34"/>
      <c r="S32" s="34"/>
      <c r="T32" s="34"/>
      <c r="U32" s="34"/>
      <c r="V32" s="34"/>
      <c r="W32" s="11"/>
      <c r="X32" s="11"/>
      <c r="Y32" s="11"/>
      <c r="AH32" s="75"/>
      <c r="AI32" s="75"/>
      <c r="AJ32" s="75"/>
      <c r="AK32" s="75"/>
      <c r="AL32" s="75"/>
      <c r="AM32" s="75"/>
      <c r="AN32" s="75"/>
      <c r="AO32" s="75"/>
      <c r="AR32" s="31"/>
      <c r="AV32" s="28"/>
    </row>
    <row r="33" spans="1:48" x14ac:dyDescent="0.2">
      <c r="A33" s="31"/>
      <c r="B33" s="502" t="s">
        <v>650</v>
      </c>
      <c r="C33" s="333"/>
      <c r="D33" s="224">
        <f t="shared" ref="D33:D39" ca="1" si="14">IFERROR(INDIRECT(B33 &amp; "!" &amp; "$M$126"),0)</f>
        <v>0</v>
      </c>
      <c r="E33" s="224">
        <f t="shared" ref="E33:E39" ca="1" si="15">IFERROR(INDIRECT(B33 &amp; "!" &amp; "$M$127"),0)</f>
        <v>0</v>
      </c>
      <c r="F33" s="224">
        <f t="shared" ref="F33:F39" ca="1" si="16">IFERROR(INDIRECT(B33 &amp; "!" &amp; "$M$128"),0)</f>
        <v>0</v>
      </c>
      <c r="G33" s="238">
        <v>0</v>
      </c>
      <c r="H33" s="224">
        <f t="shared" ref="H33:H39" ca="1" si="17">IFERROR(INDIRECT(B33 &amp; "!" &amp; "$M$116"),0)</f>
        <v>0</v>
      </c>
      <c r="I33" s="91">
        <f t="shared" ref="I33:I39" ca="1" si="18">1/(1+H33*D33)</f>
        <v>1</v>
      </c>
      <c r="J33" s="225">
        <f t="shared" ref="J33:J39" ca="1" si="19">+I33*+D33+((1-I33)*G33)</f>
        <v>0</v>
      </c>
      <c r="K33" s="66"/>
      <c r="L33" s="73"/>
      <c r="M33" s="44"/>
      <c r="N33" s="44"/>
      <c r="O33" s="44"/>
      <c r="P33" s="44"/>
      <c r="Q33" s="44"/>
      <c r="R33" s="44"/>
      <c r="S33" s="44"/>
      <c r="T33" s="44"/>
      <c r="U33" s="44"/>
      <c r="V33" s="44"/>
      <c r="W33" s="11"/>
      <c r="X33" s="11"/>
      <c r="Y33" s="11"/>
      <c r="AH33" s="75"/>
      <c r="AI33" s="80"/>
      <c r="AJ33" s="75"/>
      <c r="AK33" s="75"/>
      <c r="AL33" s="75"/>
      <c r="AM33" s="75"/>
      <c r="AN33" s="75"/>
      <c r="AO33" s="75"/>
    </row>
    <row r="34" spans="1:48" x14ac:dyDescent="0.2">
      <c r="A34" s="31"/>
      <c r="B34" s="502" t="s">
        <v>651</v>
      </c>
      <c r="C34" s="333"/>
      <c r="D34" s="224">
        <f t="shared" ca="1" si="14"/>
        <v>0</v>
      </c>
      <c r="E34" s="224">
        <f t="shared" ca="1" si="15"/>
        <v>0</v>
      </c>
      <c r="F34" s="224">
        <f t="shared" ca="1" si="16"/>
        <v>0</v>
      </c>
      <c r="G34" s="236">
        <v>0</v>
      </c>
      <c r="H34" s="224">
        <f t="shared" ca="1" si="17"/>
        <v>0</v>
      </c>
      <c r="I34" s="91">
        <f t="shared" ca="1" si="18"/>
        <v>1</v>
      </c>
      <c r="J34" s="225">
        <f t="shared" ca="1" si="19"/>
        <v>0</v>
      </c>
      <c r="K34" s="64"/>
      <c r="L34" s="25"/>
      <c r="M34" s="25"/>
      <c r="N34" s="25"/>
      <c r="O34" s="25"/>
      <c r="P34" s="25"/>
      <c r="Q34" s="25"/>
      <c r="R34" s="25"/>
      <c r="S34" s="25"/>
      <c r="T34" s="25"/>
      <c r="U34" s="25"/>
      <c r="V34" s="25"/>
      <c r="W34" s="11"/>
      <c r="X34" s="11"/>
      <c r="Y34" s="11"/>
      <c r="AH34" s="75"/>
      <c r="AI34" s="75"/>
      <c r="AJ34" s="75"/>
      <c r="AK34" s="75"/>
      <c r="AL34" s="75"/>
      <c r="AM34" s="75"/>
      <c r="AN34" s="75"/>
      <c r="AO34" s="75"/>
      <c r="AR34" s="31"/>
      <c r="AV34" s="28"/>
    </row>
    <row r="35" spans="1:48" s="227" customFormat="1" x14ac:dyDescent="0.2">
      <c r="A35" s="31"/>
      <c r="B35" s="502" t="s">
        <v>652</v>
      </c>
      <c r="C35" s="333"/>
      <c r="D35" s="224">
        <f t="shared" ca="1" si="14"/>
        <v>0</v>
      </c>
      <c r="E35" s="224">
        <f t="shared" ca="1" si="15"/>
        <v>0</v>
      </c>
      <c r="F35" s="224">
        <f t="shared" ca="1" si="16"/>
        <v>0</v>
      </c>
      <c r="G35" s="239">
        <v>0</v>
      </c>
      <c r="H35" s="224">
        <f t="shared" ca="1" si="17"/>
        <v>0</v>
      </c>
      <c r="I35" s="91">
        <f t="shared" ca="1" si="18"/>
        <v>1</v>
      </c>
      <c r="J35" s="225">
        <f t="shared" ca="1" si="19"/>
        <v>0</v>
      </c>
      <c r="K35" s="64"/>
      <c r="L35" s="25"/>
      <c r="M35" s="25"/>
      <c r="N35" s="25"/>
      <c r="O35" s="25"/>
      <c r="P35" s="25"/>
      <c r="Q35" s="25"/>
      <c r="R35" s="25"/>
      <c r="S35" s="25"/>
      <c r="T35" s="25"/>
      <c r="U35" s="25"/>
      <c r="V35" s="25"/>
      <c r="W35" s="11"/>
      <c r="X35" s="11"/>
      <c r="Y35" s="11"/>
      <c r="AH35" s="75"/>
      <c r="AI35" s="75"/>
      <c r="AJ35" s="75"/>
      <c r="AK35" s="75"/>
      <c r="AL35" s="75"/>
      <c r="AM35" s="75"/>
      <c r="AN35" s="75"/>
      <c r="AO35" s="75"/>
      <c r="AR35" s="31"/>
      <c r="AV35" s="228"/>
    </row>
    <row r="36" spans="1:48" s="227" customFormat="1" x14ac:dyDescent="0.2">
      <c r="A36" s="31"/>
      <c r="B36" s="502" t="s">
        <v>653</v>
      </c>
      <c r="C36" s="333"/>
      <c r="D36" s="224">
        <f t="shared" ca="1" si="14"/>
        <v>0</v>
      </c>
      <c r="E36" s="224">
        <f t="shared" ca="1" si="15"/>
        <v>0</v>
      </c>
      <c r="F36" s="224">
        <f ca="1">IFERROR(INDIRECT(B36 &amp; "!" &amp; "$M$128"),0)</f>
        <v>0</v>
      </c>
      <c r="G36" s="239">
        <v>0</v>
      </c>
      <c r="H36" s="224">
        <f t="shared" ca="1" si="17"/>
        <v>0</v>
      </c>
      <c r="I36" s="91">
        <f t="shared" ca="1" si="18"/>
        <v>1</v>
      </c>
      <c r="J36" s="225">
        <f t="shared" ca="1" si="19"/>
        <v>0</v>
      </c>
      <c r="K36" s="64"/>
      <c r="L36" s="25"/>
      <c r="M36" s="25"/>
      <c r="N36" s="25"/>
      <c r="O36" s="25"/>
      <c r="P36" s="25"/>
      <c r="Q36" s="25"/>
      <c r="R36" s="25"/>
      <c r="S36" s="25"/>
      <c r="T36" s="25"/>
      <c r="U36" s="25"/>
      <c r="V36" s="25"/>
      <c r="W36" s="11"/>
      <c r="X36" s="11"/>
      <c r="Y36" s="11"/>
      <c r="AH36" s="75"/>
      <c r="AI36" s="75"/>
      <c r="AJ36" s="75"/>
      <c r="AK36" s="75"/>
      <c r="AL36" s="75"/>
      <c r="AM36" s="75"/>
      <c r="AN36" s="75"/>
      <c r="AO36" s="75"/>
      <c r="AR36" s="31"/>
      <c r="AV36" s="228"/>
    </row>
    <row r="37" spans="1:48" s="227" customFormat="1" x14ac:dyDescent="0.2">
      <c r="A37" s="31"/>
      <c r="B37" s="502" t="s">
        <v>654</v>
      </c>
      <c r="C37" s="333"/>
      <c r="D37" s="224">
        <f t="shared" ca="1" si="14"/>
        <v>0</v>
      </c>
      <c r="E37" s="224">
        <f t="shared" ca="1" si="15"/>
        <v>0</v>
      </c>
      <c r="F37" s="224">
        <f t="shared" ca="1" si="16"/>
        <v>0</v>
      </c>
      <c r="G37" s="239">
        <v>0</v>
      </c>
      <c r="H37" s="224">
        <f t="shared" ca="1" si="17"/>
        <v>0</v>
      </c>
      <c r="I37" s="91">
        <f t="shared" ca="1" si="18"/>
        <v>1</v>
      </c>
      <c r="J37" s="225">
        <f t="shared" ca="1" si="19"/>
        <v>0</v>
      </c>
      <c r="K37" s="64"/>
      <c r="L37" s="25"/>
      <c r="M37" s="25"/>
      <c r="N37" s="25"/>
      <c r="O37" s="25"/>
      <c r="P37" s="25"/>
      <c r="Q37" s="25"/>
      <c r="R37" s="25"/>
      <c r="S37" s="25"/>
      <c r="T37" s="25"/>
      <c r="U37" s="25"/>
      <c r="V37" s="25"/>
      <c r="W37" s="11"/>
      <c r="X37" s="11"/>
      <c r="Y37" s="11"/>
      <c r="AH37" s="75"/>
      <c r="AI37" s="75"/>
      <c r="AJ37" s="75"/>
      <c r="AK37" s="75"/>
      <c r="AL37" s="75"/>
      <c r="AM37" s="75"/>
      <c r="AN37" s="75"/>
      <c r="AO37" s="75"/>
      <c r="AR37" s="31"/>
      <c r="AV37" s="228"/>
    </row>
    <row r="38" spans="1:48" s="227" customFormat="1" x14ac:dyDescent="0.2">
      <c r="A38" s="31"/>
      <c r="B38" s="502" t="s">
        <v>655</v>
      </c>
      <c r="C38" s="333"/>
      <c r="D38" s="224">
        <f t="shared" ca="1" si="14"/>
        <v>0</v>
      </c>
      <c r="E38" s="224">
        <f t="shared" ca="1" si="15"/>
        <v>0</v>
      </c>
      <c r="F38" s="224">
        <f t="shared" ca="1" si="16"/>
        <v>0</v>
      </c>
      <c r="G38" s="239">
        <v>0</v>
      </c>
      <c r="H38" s="224">
        <f t="shared" ca="1" si="17"/>
        <v>0</v>
      </c>
      <c r="I38" s="91">
        <f t="shared" ca="1" si="18"/>
        <v>1</v>
      </c>
      <c r="J38" s="225">
        <f t="shared" ca="1" si="19"/>
        <v>0</v>
      </c>
      <c r="K38" s="64"/>
      <c r="L38" s="25"/>
      <c r="M38" s="25"/>
      <c r="N38" s="25"/>
      <c r="O38" s="25"/>
      <c r="P38" s="25"/>
      <c r="Q38" s="25"/>
      <c r="R38" s="25"/>
      <c r="S38" s="25"/>
      <c r="T38" s="25"/>
      <c r="U38" s="25"/>
      <c r="V38" s="25"/>
      <c r="W38" s="11"/>
      <c r="X38" s="11"/>
      <c r="Y38" s="11"/>
      <c r="AH38" s="75"/>
      <c r="AI38" s="75"/>
      <c r="AJ38" s="75"/>
      <c r="AK38" s="75"/>
      <c r="AL38" s="75"/>
      <c r="AM38" s="75"/>
      <c r="AN38" s="75"/>
      <c r="AO38" s="75"/>
      <c r="AR38" s="31"/>
      <c r="AV38" s="228"/>
    </row>
    <row r="39" spans="1:48" ht="13.5" thickBot="1" x14ac:dyDescent="0.25">
      <c r="B39" s="502" t="s">
        <v>656</v>
      </c>
      <c r="C39" s="333"/>
      <c r="D39" s="224">
        <f t="shared" ca="1" si="14"/>
        <v>0</v>
      </c>
      <c r="E39" s="224">
        <f t="shared" ca="1" si="15"/>
        <v>0</v>
      </c>
      <c r="F39" s="224">
        <f t="shared" ca="1" si="16"/>
        <v>0</v>
      </c>
      <c r="G39" s="240">
        <v>0</v>
      </c>
      <c r="H39" s="224">
        <f t="shared" ca="1" si="17"/>
        <v>0</v>
      </c>
      <c r="I39" s="91">
        <f t="shared" ca="1" si="18"/>
        <v>1</v>
      </c>
      <c r="J39" s="225">
        <f t="shared" ca="1" si="19"/>
        <v>0</v>
      </c>
      <c r="K39" s="63"/>
      <c r="L39" s="43"/>
      <c r="M39" s="43"/>
      <c r="N39" s="43"/>
      <c r="O39" s="43"/>
      <c r="P39" s="43"/>
      <c r="Q39" s="43"/>
      <c r="R39" s="43"/>
      <c r="S39" s="43"/>
      <c r="T39" s="43"/>
      <c r="U39" s="69"/>
      <c r="V39" s="69"/>
      <c r="W39" s="11"/>
      <c r="X39" s="11"/>
      <c r="Y39" s="11"/>
    </row>
    <row r="40" spans="1:48" ht="13.5" thickBot="1" x14ac:dyDescent="0.25">
      <c r="B40" s="764" t="s">
        <v>617</v>
      </c>
      <c r="C40" s="765"/>
      <c r="D40" s="231">
        <f ca="1">SUM(D14:D21)+SUM(D23:D30)+SUM(D32:D39)</f>
        <v>0</v>
      </c>
      <c r="E40" s="231">
        <f ca="1">SUM(E14:E21)+SUM(E23:E30)+SUM(E32:E39)</f>
        <v>0</v>
      </c>
      <c r="F40" s="231">
        <f ca="1">SUM(F14:F21)+SUM(F23:F30)+SUM(F32:F39)</f>
        <v>0</v>
      </c>
      <c r="G40" s="231">
        <f>SUM(G14:G21)+SUM(G23:G30)+SUM(G32:G39)</f>
        <v>0</v>
      </c>
      <c r="H40" s="211"/>
      <c r="I40" s="211"/>
      <c r="J40" s="231">
        <f ca="1">SUM(J14:J21)+SUM(J23:J30)+SUM(J32:J39)</f>
        <v>0</v>
      </c>
      <c r="K40" s="63"/>
      <c r="L40" s="43"/>
      <c r="M40" s="43"/>
      <c r="N40" s="43"/>
      <c r="O40" s="43"/>
      <c r="P40" s="43"/>
      <c r="Q40" s="43"/>
      <c r="R40" s="43"/>
      <c r="S40" s="43"/>
      <c r="T40" s="43"/>
      <c r="U40" s="69"/>
      <c r="V40" s="69"/>
      <c r="W40" s="11"/>
      <c r="X40" s="11"/>
      <c r="Y40" s="11"/>
    </row>
    <row r="41" spans="1:48" x14ac:dyDescent="0.2">
      <c r="B41" s="744" t="s">
        <v>114</v>
      </c>
      <c r="C41" s="744"/>
      <c r="D41" s="744"/>
      <c r="E41" s="744"/>
      <c r="F41" s="744"/>
      <c r="G41" s="744"/>
      <c r="H41" s="744"/>
      <c r="I41" s="744"/>
      <c r="J41" s="744"/>
      <c r="K41" s="62"/>
      <c r="L41" s="43"/>
      <c r="M41" s="43"/>
      <c r="N41" s="43"/>
      <c r="O41" s="43"/>
      <c r="P41" s="43"/>
      <c r="Q41" s="43"/>
      <c r="R41" s="43"/>
      <c r="S41" s="43"/>
      <c r="T41" s="43"/>
      <c r="U41" s="69"/>
      <c r="V41" s="69"/>
      <c r="W41" s="25"/>
      <c r="X41" s="25"/>
      <c r="Y41" s="25"/>
      <c r="Z41" s="25"/>
      <c r="AA41" s="25"/>
      <c r="AB41" s="25"/>
      <c r="AC41" s="25"/>
      <c r="AD41" s="25"/>
      <c r="AE41" s="25"/>
      <c r="AH41" s="45"/>
      <c r="AI41" s="45"/>
      <c r="AJ41" s="45"/>
      <c r="AK41" s="45"/>
      <c r="AL41" s="45"/>
      <c r="AM41" s="25"/>
      <c r="AN41" s="25"/>
      <c r="AO41" s="25"/>
    </row>
    <row r="42" spans="1:48" x14ac:dyDescent="0.2">
      <c r="B42" s="752" t="s">
        <v>528</v>
      </c>
      <c r="C42" s="435"/>
      <c r="D42" s="435"/>
      <c r="E42" s="435"/>
      <c r="F42" s="435"/>
      <c r="G42" s="435"/>
      <c r="H42" s="435"/>
      <c r="I42" s="435"/>
      <c r="J42" s="435"/>
      <c r="K42" s="62"/>
      <c r="L42" s="43"/>
      <c r="M42" s="43"/>
      <c r="N42" s="43"/>
      <c r="O42" s="43"/>
      <c r="P42" s="43"/>
      <c r="Q42" s="43"/>
      <c r="R42" s="43"/>
      <c r="S42" s="43"/>
      <c r="T42" s="43"/>
      <c r="U42" s="69"/>
      <c r="V42" s="69"/>
      <c r="W42" s="25"/>
      <c r="X42" s="25"/>
      <c r="Y42" s="25"/>
      <c r="Z42" s="25"/>
      <c r="AA42" s="25"/>
      <c r="AB42" s="25"/>
      <c r="AC42" s="25"/>
      <c r="AD42" s="25"/>
      <c r="AE42" s="25"/>
      <c r="AH42" s="45"/>
      <c r="AI42" s="45"/>
      <c r="AJ42" s="45"/>
      <c r="AK42" s="45"/>
      <c r="AL42" s="45"/>
      <c r="AM42" s="25"/>
      <c r="AN42" s="25"/>
      <c r="AO42" s="25"/>
    </row>
    <row r="43" spans="1:48" x14ac:dyDescent="0.2">
      <c r="A43" s="38"/>
      <c r="B43" s="502" t="s">
        <v>657</v>
      </c>
      <c r="C43" s="333"/>
      <c r="D43" s="55">
        <f ca="1">IFERROR(INDIRECT(B43 &amp; "!" &amp; "$L$162"),0)</f>
        <v>3.0507275466616069E-6</v>
      </c>
      <c r="E43" s="55">
        <f ca="1">IFERROR(INDIRECT(B43 &amp; "!" &amp; "$F$162"),0)</f>
        <v>2.2493226153007515E-6</v>
      </c>
      <c r="F43" s="92">
        <f ca="1">IFERROR(INDIRECT(B43 &amp; "!" &amp; "$I$162"),0)</f>
        <v>8.0140493136085558E-7</v>
      </c>
      <c r="G43" s="236">
        <v>0</v>
      </c>
      <c r="H43" s="92">
        <f ca="1">IFERROR(INDIRECT(B43 &amp; "!" &amp; "$F$51"),0)</f>
        <v>0.8</v>
      </c>
      <c r="I43" s="91">
        <f ca="1">1/(1+H43*D43)</f>
        <v>0.9999975594239191</v>
      </c>
      <c r="J43" s="57">
        <f ca="1">+I43*+D43+((1-I43)*G43)</f>
        <v>3.0507201011289271E-6</v>
      </c>
      <c r="K43" s="46"/>
      <c r="L43" s="69"/>
      <c r="M43" s="69"/>
      <c r="N43" s="69"/>
      <c r="O43" s="45"/>
      <c r="P43" s="25"/>
      <c r="Q43" s="45"/>
      <c r="S43" s="45"/>
      <c r="T43" s="25"/>
      <c r="U43" s="45"/>
      <c r="W43" s="62"/>
      <c r="X43" s="62"/>
      <c r="Y43" s="62"/>
      <c r="Z43" s="62"/>
      <c r="AA43" s="62"/>
      <c r="AB43" s="62"/>
      <c r="AC43" s="62"/>
      <c r="AD43" s="62"/>
      <c r="AE43" s="62"/>
      <c r="AH43" s="45"/>
      <c r="AI43" s="45"/>
      <c r="AJ43" s="45"/>
      <c r="AK43" s="25"/>
      <c r="AL43" s="45"/>
      <c r="AM43" s="25"/>
      <c r="AN43" s="25"/>
      <c r="AO43" s="25"/>
    </row>
    <row r="44" spans="1:48" x14ac:dyDescent="0.2">
      <c r="A44" s="90"/>
      <c r="B44" s="699" t="s">
        <v>658</v>
      </c>
      <c r="C44" s="333"/>
      <c r="D44" s="224">
        <f t="shared" ref="D44:D50" ca="1" si="20">IFERROR(INDIRECT(B44 &amp; "!" &amp; "$L$162"),0)</f>
        <v>0</v>
      </c>
      <c r="E44" s="224">
        <f t="shared" ref="E44:E50" ca="1" si="21">IFERROR(INDIRECT(B44 &amp; "!" &amp; "$F$162"),0)</f>
        <v>0</v>
      </c>
      <c r="F44" s="92">
        <f t="shared" ref="F44:F50" ca="1" si="22">IFERROR(INDIRECT(B44 &amp; "!" &amp; "$I$162"),0)</f>
        <v>0</v>
      </c>
      <c r="G44" s="236">
        <v>0</v>
      </c>
      <c r="H44" s="92">
        <f t="shared" ref="H44:H50" ca="1" si="23">IFERROR(INDIRECT(B44 &amp; "!" &amp; "$F$51"),0)</f>
        <v>0</v>
      </c>
      <c r="I44" s="91">
        <f t="shared" ref="I44:I50" ca="1" si="24">1/(1+H44*D44)</f>
        <v>1</v>
      </c>
      <c r="J44" s="225">
        <f t="shared" ref="J44:J50" ca="1" si="25">+I44*+D44+((1-I44)*G44)</f>
        <v>0</v>
      </c>
      <c r="L44" s="39"/>
      <c r="M44" s="25"/>
      <c r="N44" s="25"/>
      <c r="O44" s="25"/>
      <c r="P44" s="25"/>
      <c r="S44" s="25"/>
      <c r="T44" s="25"/>
      <c r="W44" s="43"/>
      <c r="X44" s="43"/>
      <c r="Y44" s="43"/>
      <c r="Z44" s="43"/>
      <c r="AA44" s="43"/>
      <c r="AB44" s="43"/>
      <c r="AC44" s="43"/>
      <c r="AD44" s="43"/>
      <c r="AE44" s="43"/>
      <c r="AH44" s="45"/>
      <c r="AI44" s="45"/>
      <c r="AJ44" s="25"/>
      <c r="AK44" s="25"/>
      <c r="AL44" s="25"/>
      <c r="AM44" s="25"/>
      <c r="AN44" s="25"/>
      <c r="AO44" s="25"/>
    </row>
    <row r="45" spans="1:48" x14ac:dyDescent="0.2">
      <c r="A45" s="69"/>
      <c r="B45" s="502" t="s">
        <v>659</v>
      </c>
      <c r="C45" s="333"/>
      <c r="D45" s="224">
        <f t="shared" ca="1" si="20"/>
        <v>0</v>
      </c>
      <c r="E45" s="224">
        <f t="shared" ca="1" si="21"/>
        <v>0</v>
      </c>
      <c r="F45" s="92">
        <f t="shared" ca="1" si="22"/>
        <v>0</v>
      </c>
      <c r="G45" s="236">
        <v>0</v>
      </c>
      <c r="H45" s="92">
        <f t="shared" ca="1" si="23"/>
        <v>0</v>
      </c>
      <c r="I45" s="91">
        <f t="shared" ca="1" si="24"/>
        <v>1</v>
      </c>
      <c r="J45" s="225">
        <f t="shared" ca="1" si="25"/>
        <v>0</v>
      </c>
      <c r="L45" s="69"/>
      <c r="W45" s="43"/>
      <c r="X45" s="43"/>
      <c r="Y45" s="43"/>
      <c r="Z45" s="43"/>
      <c r="AA45" s="43"/>
      <c r="AB45" s="43"/>
      <c r="AC45" s="43"/>
      <c r="AD45" s="43"/>
      <c r="AE45" s="43"/>
      <c r="AH45" s="25"/>
      <c r="AI45" s="25"/>
      <c r="AJ45" s="25"/>
      <c r="AK45" s="25"/>
      <c r="AL45" s="84"/>
      <c r="AM45" s="84"/>
      <c r="AN45" s="84"/>
      <c r="AO45" s="84"/>
    </row>
    <row r="46" spans="1:48" s="227" customFormat="1" x14ac:dyDescent="0.2">
      <c r="A46" s="69"/>
      <c r="B46" s="699" t="s">
        <v>660</v>
      </c>
      <c r="C46" s="333"/>
      <c r="D46" s="224">
        <f t="shared" ca="1" si="20"/>
        <v>0</v>
      </c>
      <c r="E46" s="224">
        <f t="shared" ca="1" si="21"/>
        <v>0</v>
      </c>
      <c r="F46" s="92">
        <f t="shared" ca="1" si="22"/>
        <v>0</v>
      </c>
      <c r="G46" s="236">
        <v>0</v>
      </c>
      <c r="H46" s="92">
        <f t="shared" ca="1" si="23"/>
        <v>0</v>
      </c>
      <c r="I46" s="91">
        <f t="shared" ca="1" si="24"/>
        <v>1</v>
      </c>
      <c r="J46" s="225">
        <f t="shared" ca="1" si="25"/>
        <v>0</v>
      </c>
      <c r="L46" s="69"/>
      <c r="W46" s="43"/>
      <c r="X46" s="43"/>
      <c r="Y46" s="43"/>
      <c r="Z46" s="43"/>
      <c r="AA46" s="43"/>
      <c r="AB46" s="43"/>
      <c r="AC46" s="43"/>
      <c r="AD46" s="43"/>
      <c r="AE46" s="43"/>
      <c r="AH46" s="25"/>
      <c r="AI46" s="25"/>
      <c r="AJ46" s="25"/>
      <c r="AK46" s="25"/>
      <c r="AL46" s="84"/>
      <c r="AM46" s="84"/>
      <c r="AN46" s="84"/>
      <c r="AO46" s="84"/>
    </row>
    <row r="47" spans="1:48" s="227" customFormat="1" x14ac:dyDescent="0.2">
      <c r="A47" s="69"/>
      <c r="B47" s="502" t="s">
        <v>661</v>
      </c>
      <c r="C47" s="333"/>
      <c r="D47" s="224">
        <f t="shared" ca="1" si="20"/>
        <v>0</v>
      </c>
      <c r="E47" s="224">
        <f t="shared" ca="1" si="21"/>
        <v>0</v>
      </c>
      <c r="F47" s="92">
        <f t="shared" ca="1" si="22"/>
        <v>0</v>
      </c>
      <c r="G47" s="236">
        <v>0</v>
      </c>
      <c r="H47" s="92">
        <f t="shared" ca="1" si="23"/>
        <v>0</v>
      </c>
      <c r="I47" s="91">
        <f t="shared" ca="1" si="24"/>
        <v>1</v>
      </c>
      <c r="J47" s="225">
        <f t="shared" ca="1" si="25"/>
        <v>0</v>
      </c>
      <c r="L47" s="69"/>
      <c r="W47" s="43"/>
      <c r="X47" s="43"/>
      <c r="Y47" s="43"/>
      <c r="Z47" s="43"/>
      <c r="AA47" s="43"/>
      <c r="AB47" s="43"/>
      <c r="AC47" s="43"/>
      <c r="AD47" s="43"/>
      <c r="AE47" s="43"/>
      <c r="AH47" s="25"/>
      <c r="AI47" s="25"/>
      <c r="AJ47" s="25"/>
      <c r="AK47" s="25"/>
      <c r="AL47" s="84"/>
      <c r="AM47" s="84"/>
      <c r="AN47" s="84"/>
      <c r="AO47" s="84"/>
    </row>
    <row r="48" spans="1:48" s="227" customFormat="1" x14ac:dyDescent="0.2">
      <c r="A48" s="69"/>
      <c r="B48" s="699" t="s">
        <v>662</v>
      </c>
      <c r="C48" s="333"/>
      <c r="D48" s="224">
        <f t="shared" ca="1" si="20"/>
        <v>0</v>
      </c>
      <c r="E48" s="224">
        <f t="shared" ca="1" si="21"/>
        <v>0</v>
      </c>
      <c r="F48" s="92">
        <f t="shared" ca="1" si="22"/>
        <v>0</v>
      </c>
      <c r="G48" s="236">
        <v>0</v>
      </c>
      <c r="H48" s="92">
        <f t="shared" ca="1" si="23"/>
        <v>0</v>
      </c>
      <c r="I48" s="91">
        <f t="shared" ca="1" si="24"/>
        <v>1</v>
      </c>
      <c r="J48" s="225">
        <f t="shared" ca="1" si="25"/>
        <v>0</v>
      </c>
      <c r="L48" s="69"/>
      <c r="W48" s="43"/>
      <c r="X48" s="43"/>
      <c r="Y48" s="43"/>
      <c r="Z48" s="43"/>
      <c r="AA48" s="43"/>
      <c r="AB48" s="43"/>
      <c r="AC48" s="43"/>
      <c r="AD48" s="43"/>
      <c r="AE48" s="43"/>
      <c r="AH48" s="25"/>
      <c r="AI48" s="25"/>
      <c r="AJ48" s="25"/>
      <c r="AK48" s="25"/>
      <c r="AL48" s="84"/>
      <c r="AM48" s="84"/>
      <c r="AN48" s="84"/>
      <c r="AO48" s="84"/>
    </row>
    <row r="49" spans="1:41" s="227" customFormat="1" x14ac:dyDescent="0.2">
      <c r="A49" s="69"/>
      <c r="B49" s="502" t="s">
        <v>663</v>
      </c>
      <c r="C49" s="333"/>
      <c r="D49" s="224">
        <f t="shared" ca="1" si="20"/>
        <v>0</v>
      </c>
      <c r="E49" s="224">
        <f t="shared" ca="1" si="21"/>
        <v>0</v>
      </c>
      <c r="F49" s="92">
        <f t="shared" ca="1" si="22"/>
        <v>0</v>
      </c>
      <c r="G49" s="236">
        <v>0</v>
      </c>
      <c r="H49" s="92">
        <f t="shared" ca="1" si="23"/>
        <v>0</v>
      </c>
      <c r="I49" s="91">
        <f t="shared" ca="1" si="24"/>
        <v>1</v>
      </c>
      <c r="J49" s="225">
        <f t="shared" ca="1" si="25"/>
        <v>0</v>
      </c>
      <c r="L49" s="69"/>
      <c r="W49" s="43"/>
      <c r="X49" s="43"/>
      <c r="Y49" s="43"/>
      <c r="Z49" s="43"/>
      <c r="AA49" s="43"/>
      <c r="AB49" s="43"/>
      <c r="AC49" s="43"/>
      <c r="AD49" s="43"/>
      <c r="AE49" s="43"/>
      <c r="AH49" s="25"/>
      <c r="AI49" s="25"/>
      <c r="AJ49" s="25"/>
      <c r="AK49" s="25"/>
      <c r="AL49" s="84"/>
      <c r="AM49" s="84"/>
      <c r="AN49" s="84"/>
      <c r="AO49" s="84"/>
    </row>
    <row r="50" spans="1:41" x14ac:dyDescent="0.2">
      <c r="A50" s="69"/>
      <c r="B50" s="699" t="s">
        <v>664</v>
      </c>
      <c r="C50" s="333"/>
      <c r="D50" s="224">
        <f t="shared" ca="1" si="20"/>
        <v>0</v>
      </c>
      <c r="E50" s="224">
        <f t="shared" ca="1" si="21"/>
        <v>0</v>
      </c>
      <c r="F50" s="92">
        <f t="shared" ca="1" si="22"/>
        <v>0</v>
      </c>
      <c r="G50" s="236">
        <v>0</v>
      </c>
      <c r="H50" s="92">
        <f t="shared" ca="1" si="23"/>
        <v>0</v>
      </c>
      <c r="I50" s="91">
        <f t="shared" ca="1" si="24"/>
        <v>1</v>
      </c>
      <c r="J50" s="225">
        <f t="shared" ca="1" si="25"/>
        <v>0</v>
      </c>
      <c r="O50" s="40"/>
      <c r="P50" s="40"/>
      <c r="Q50" s="40"/>
      <c r="R50" s="37"/>
      <c r="S50" s="40"/>
      <c r="T50" s="40"/>
      <c r="U50" s="40"/>
      <c r="V50" s="37"/>
      <c r="W50" s="67"/>
      <c r="X50" s="67"/>
      <c r="Y50" s="67"/>
      <c r="Z50" s="67"/>
      <c r="AA50" s="67"/>
      <c r="AB50" s="67"/>
      <c r="AC50" s="67"/>
      <c r="AD50" s="67"/>
      <c r="AE50" s="67"/>
      <c r="AH50" s="25"/>
      <c r="AI50" s="25"/>
      <c r="AJ50" s="25"/>
      <c r="AK50" s="25"/>
      <c r="AL50" s="85"/>
      <c r="AM50" s="85"/>
      <c r="AN50" s="85"/>
      <c r="AO50" s="85"/>
    </row>
    <row r="51" spans="1:41" x14ac:dyDescent="0.2">
      <c r="A51" s="69"/>
      <c r="B51" s="752" t="s">
        <v>525</v>
      </c>
      <c r="C51" s="435"/>
      <c r="D51" s="435"/>
      <c r="E51" s="435"/>
      <c r="F51" s="435"/>
      <c r="G51" s="435"/>
      <c r="H51" s="435"/>
      <c r="I51" s="435"/>
      <c r="J51" s="435"/>
      <c r="O51" s="40"/>
      <c r="P51" s="40"/>
      <c r="Q51" s="40"/>
      <c r="R51" s="37"/>
      <c r="S51" s="40"/>
      <c r="T51" s="40"/>
      <c r="U51" s="40"/>
      <c r="V51" s="37"/>
      <c r="W51" s="67"/>
      <c r="X51" s="67"/>
      <c r="Y51" s="67"/>
      <c r="Z51" s="67"/>
      <c r="AA51" s="67"/>
      <c r="AB51" s="67"/>
      <c r="AC51" s="67"/>
      <c r="AD51" s="67"/>
      <c r="AE51" s="67"/>
      <c r="AH51" s="25"/>
      <c r="AI51" s="25"/>
      <c r="AJ51" s="25"/>
      <c r="AK51" s="25"/>
      <c r="AL51" s="85"/>
      <c r="AM51" s="85"/>
      <c r="AN51" s="85"/>
      <c r="AO51" s="85"/>
    </row>
    <row r="52" spans="1:41" x14ac:dyDescent="0.2">
      <c r="A52" s="58"/>
      <c r="B52" s="502" t="s">
        <v>657</v>
      </c>
      <c r="C52" s="333"/>
      <c r="D52" s="91">
        <f ca="1">IFERROR(INDIRECT(B52 &amp; "!" &amp; "$N$83"),0)</f>
        <v>2.5057011969865394E-3</v>
      </c>
      <c r="E52" s="91">
        <f ca="1">IFERROR(INDIRECT(B52 &amp; "!" &amp; "$N$84"),0)</f>
        <v>1.4482164165947487E-3</v>
      </c>
      <c r="F52" s="91">
        <f ca="1">IFERROR(INDIRECT(B52 &amp; "!" &amp; "$N$86"),0)</f>
        <v>1.0574847803917907E-3</v>
      </c>
      <c r="G52" s="236">
        <v>0</v>
      </c>
      <c r="H52" s="92">
        <f ca="1">IFERROR(INDIRECT(B52 &amp; "!" &amp; "$F$83"),0)</f>
        <v>1.1399999999999999</v>
      </c>
      <c r="I52" s="91">
        <f t="shared" ref="I52" ca="1" si="26">1/(1+H52*D52)</f>
        <v>0.99715163698258469</v>
      </c>
      <c r="J52" s="57">
        <f t="shared" ref="J52" ca="1" si="27">+I52*+D52+((1-I52)*G52)</f>
        <v>2.4985640503643498E-3</v>
      </c>
      <c r="K52" s="47"/>
      <c r="O52" s="37"/>
      <c r="P52" s="37"/>
      <c r="Q52" s="37"/>
      <c r="R52" s="37"/>
      <c r="S52" s="37"/>
      <c r="T52" s="37"/>
      <c r="U52" s="37"/>
      <c r="V52" s="37"/>
      <c r="W52" s="68"/>
      <c r="X52" s="68"/>
      <c r="Y52" s="68"/>
      <c r="Z52" s="68"/>
      <c r="AA52" s="68"/>
      <c r="AB52" s="68"/>
      <c r="AC52" s="68"/>
      <c r="AD52" s="68"/>
      <c r="AE52" s="68"/>
      <c r="AH52" s="39"/>
      <c r="AI52" s="25"/>
      <c r="AJ52" s="52"/>
      <c r="AK52" s="25"/>
      <c r="AL52" s="83"/>
      <c r="AM52" s="83"/>
      <c r="AN52" s="86"/>
      <c r="AO52" s="86"/>
    </row>
    <row r="53" spans="1:41" x14ac:dyDescent="0.2">
      <c r="A53" s="58"/>
      <c r="B53" s="699" t="s">
        <v>658</v>
      </c>
      <c r="C53" s="333"/>
      <c r="D53" s="91">
        <f t="shared" ref="D53:D59" ca="1" si="28">IFERROR(INDIRECT(B53 &amp; "!" &amp; "$N$83"),0)</f>
        <v>0</v>
      </c>
      <c r="E53" s="91">
        <f t="shared" ref="E53:E59" ca="1" si="29">IFERROR(INDIRECT(B53 &amp; "!" &amp; "$N$84"),0)</f>
        <v>0</v>
      </c>
      <c r="F53" s="91">
        <f t="shared" ref="F53:F59" ca="1" si="30">IFERROR(INDIRECT(B53 &amp; "!" &amp; "$N$86"),0)</f>
        <v>0</v>
      </c>
      <c r="G53" s="236">
        <v>0</v>
      </c>
      <c r="H53" s="92">
        <f t="shared" ref="H53:H59" ca="1" si="31">IFERROR(INDIRECT(B53 &amp; "!" &amp; "$F$83"),0)</f>
        <v>0</v>
      </c>
      <c r="I53" s="91">
        <f t="shared" ref="I53:I59" ca="1" si="32">1/(1+H53*D53)</f>
        <v>1</v>
      </c>
      <c r="J53" s="225">
        <f t="shared" ref="J53:J59" ca="1" si="33">+I53*+D53+((1-I53)*G53)</f>
        <v>0</v>
      </c>
      <c r="K53" s="45"/>
      <c r="L53" s="70"/>
      <c r="M53" s="25"/>
      <c r="N53" s="25"/>
      <c r="O53" s="72"/>
      <c r="P53" s="72"/>
      <c r="Q53" s="72"/>
      <c r="R53" s="25"/>
      <c r="S53" s="34"/>
      <c r="T53" s="34"/>
      <c r="U53" s="34"/>
      <c r="V53" s="34"/>
      <c r="W53" s="45"/>
      <c r="X53" s="25"/>
      <c r="Y53" s="25"/>
      <c r="Z53" s="25"/>
      <c r="AA53" s="25"/>
      <c r="AB53" s="25"/>
      <c r="AC53" s="25"/>
      <c r="AD53" s="25"/>
      <c r="AE53" s="25"/>
      <c r="AH53" s="25"/>
      <c r="AI53" s="25"/>
      <c r="AJ53" s="25"/>
      <c r="AK53" s="25"/>
      <c r="AL53" s="83"/>
      <c r="AM53" s="83"/>
      <c r="AN53" s="83"/>
      <c r="AO53" s="83"/>
    </row>
    <row r="54" spans="1:41" x14ac:dyDescent="0.2">
      <c r="A54" s="28"/>
      <c r="B54" s="502" t="s">
        <v>659</v>
      </c>
      <c r="C54" s="333"/>
      <c r="D54" s="91">
        <f t="shared" ca="1" si="28"/>
        <v>0</v>
      </c>
      <c r="E54" s="91">
        <f t="shared" ca="1" si="29"/>
        <v>0</v>
      </c>
      <c r="F54" s="91">
        <f t="shared" ca="1" si="30"/>
        <v>0</v>
      </c>
      <c r="G54" s="236">
        <v>0</v>
      </c>
      <c r="H54" s="92">
        <f t="shared" ca="1" si="31"/>
        <v>0</v>
      </c>
      <c r="I54" s="91">
        <f t="shared" ca="1" si="32"/>
        <v>1</v>
      </c>
      <c r="J54" s="225">
        <f t="shared" ca="1" si="33"/>
        <v>0</v>
      </c>
      <c r="K54" s="45"/>
      <c r="L54" s="70"/>
      <c r="M54" s="25"/>
      <c r="N54" s="25"/>
      <c r="O54" s="72"/>
      <c r="P54" s="72"/>
      <c r="Q54" s="72"/>
      <c r="R54" s="25"/>
      <c r="S54" s="34"/>
      <c r="T54" s="34"/>
      <c r="U54" s="34"/>
      <c r="V54" s="34"/>
      <c r="W54" s="45"/>
      <c r="X54" s="25"/>
      <c r="Y54" s="25"/>
      <c r="Z54" s="25"/>
      <c r="AA54" s="25"/>
      <c r="AB54" s="25"/>
      <c r="AC54" s="25"/>
      <c r="AD54" s="25"/>
      <c r="AE54" s="25"/>
      <c r="AH54" s="25"/>
      <c r="AI54" s="25"/>
      <c r="AJ54" s="25"/>
      <c r="AK54" s="25"/>
      <c r="AL54" s="83"/>
      <c r="AM54" s="83"/>
      <c r="AN54" s="83"/>
      <c r="AO54" s="83"/>
    </row>
    <row r="55" spans="1:41" s="227" customFormat="1" x14ac:dyDescent="0.2">
      <c r="A55" s="228"/>
      <c r="B55" s="699" t="s">
        <v>660</v>
      </c>
      <c r="C55" s="333"/>
      <c r="D55" s="91">
        <f t="shared" ca="1" si="28"/>
        <v>0</v>
      </c>
      <c r="E55" s="91">
        <f t="shared" ca="1" si="29"/>
        <v>0</v>
      </c>
      <c r="F55" s="91">
        <f t="shared" ca="1" si="30"/>
        <v>0</v>
      </c>
      <c r="G55" s="239">
        <v>0</v>
      </c>
      <c r="H55" s="92">
        <f t="shared" ca="1" si="31"/>
        <v>0</v>
      </c>
      <c r="I55" s="91">
        <f t="shared" ca="1" si="32"/>
        <v>1</v>
      </c>
      <c r="J55" s="225">
        <f t="shared" ca="1" si="33"/>
        <v>0</v>
      </c>
      <c r="K55" s="226"/>
      <c r="L55" s="70"/>
      <c r="M55" s="25"/>
      <c r="N55" s="25"/>
      <c r="O55" s="72"/>
      <c r="P55" s="72"/>
      <c r="Q55" s="72"/>
      <c r="R55" s="25"/>
      <c r="S55" s="34"/>
      <c r="T55" s="34"/>
      <c r="U55" s="34"/>
      <c r="V55" s="34"/>
      <c r="W55" s="226"/>
      <c r="X55" s="25"/>
      <c r="Y55" s="25"/>
      <c r="Z55" s="25"/>
      <c r="AA55" s="25"/>
      <c r="AB55" s="25"/>
      <c r="AC55" s="25"/>
      <c r="AD55" s="25"/>
      <c r="AE55" s="25"/>
      <c r="AH55" s="25"/>
      <c r="AI55" s="25"/>
      <c r="AJ55" s="25"/>
      <c r="AK55" s="25"/>
      <c r="AL55" s="83"/>
      <c r="AM55" s="83"/>
      <c r="AN55" s="83"/>
      <c r="AO55" s="83"/>
    </row>
    <row r="56" spans="1:41" s="227" customFormat="1" x14ac:dyDescent="0.2">
      <c r="A56" s="228"/>
      <c r="B56" s="502" t="s">
        <v>661</v>
      </c>
      <c r="C56" s="333"/>
      <c r="D56" s="91">
        <f t="shared" ca="1" si="28"/>
        <v>0</v>
      </c>
      <c r="E56" s="91">
        <f t="shared" ca="1" si="29"/>
        <v>0</v>
      </c>
      <c r="F56" s="91">
        <f t="shared" ca="1" si="30"/>
        <v>0</v>
      </c>
      <c r="G56" s="239">
        <v>0</v>
      </c>
      <c r="H56" s="92">
        <f t="shared" ca="1" si="31"/>
        <v>0</v>
      </c>
      <c r="I56" s="91">
        <f t="shared" ca="1" si="32"/>
        <v>1</v>
      </c>
      <c r="J56" s="225">
        <f t="shared" ca="1" si="33"/>
        <v>0</v>
      </c>
      <c r="K56" s="226"/>
      <c r="L56" s="70"/>
      <c r="M56" s="25"/>
      <c r="N56" s="25"/>
      <c r="O56" s="72"/>
      <c r="P56" s="72"/>
      <c r="Q56" s="72"/>
      <c r="R56" s="25"/>
      <c r="S56" s="34"/>
      <c r="T56" s="34"/>
      <c r="U56" s="34"/>
      <c r="V56" s="34"/>
      <c r="W56" s="226"/>
      <c r="X56" s="25"/>
      <c r="Y56" s="25"/>
      <c r="Z56" s="25"/>
      <c r="AA56" s="25"/>
      <c r="AB56" s="25"/>
      <c r="AC56" s="25"/>
      <c r="AD56" s="25"/>
      <c r="AE56" s="25"/>
      <c r="AH56" s="25"/>
      <c r="AI56" s="25"/>
      <c r="AJ56" s="25"/>
      <c r="AK56" s="25"/>
      <c r="AL56" s="83"/>
      <c r="AM56" s="83"/>
      <c r="AN56" s="83"/>
      <c r="AO56" s="83"/>
    </row>
    <row r="57" spans="1:41" s="227" customFormat="1" x14ac:dyDescent="0.2">
      <c r="A57" s="228"/>
      <c r="B57" s="699" t="s">
        <v>662</v>
      </c>
      <c r="C57" s="333"/>
      <c r="D57" s="91">
        <f t="shared" ca="1" si="28"/>
        <v>0</v>
      </c>
      <c r="E57" s="91">
        <f t="shared" ca="1" si="29"/>
        <v>0</v>
      </c>
      <c r="F57" s="91">
        <f t="shared" ca="1" si="30"/>
        <v>0</v>
      </c>
      <c r="G57" s="239">
        <v>0</v>
      </c>
      <c r="H57" s="92">
        <f t="shared" ca="1" si="31"/>
        <v>0</v>
      </c>
      <c r="I57" s="91">
        <f t="shared" ca="1" si="32"/>
        <v>1</v>
      </c>
      <c r="J57" s="225">
        <f t="shared" ca="1" si="33"/>
        <v>0</v>
      </c>
      <c r="K57" s="226"/>
      <c r="L57" s="70"/>
      <c r="M57" s="25"/>
      <c r="N57" s="25"/>
      <c r="O57" s="72"/>
      <c r="P57" s="72"/>
      <c r="Q57" s="72"/>
      <c r="R57" s="25"/>
      <c r="S57" s="34"/>
      <c r="T57" s="34"/>
      <c r="U57" s="34"/>
      <c r="V57" s="34"/>
      <c r="W57" s="226"/>
      <c r="X57" s="25"/>
      <c r="Y57" s="25"/>
      <c r="Z57" s="25"/>
      <c r="AA57" s="25"/>
      <c r="AB57" s="25"/>
      <c r="AC57" s="25"/>
      <c r="AD57" s="25"/>
      <c r="AE57" s="25"/>
      <c r="AH57" s="25"/>
      <c r="AI57" s="25"/>
      <c r="AJ57" s="25"/>
      <c r="AK57" s="25"/>
      <c r="AL57" s="83"/>
      <c r="AM57" s="83"/>
      <c r="AN57" s="83"/>
      <c r="AO57" s="83"/>
    </row>
    <row r="58" spans="1:41" s="227" customFormat="1" x14ac:dyDescent="0.2">
      <c r="A58" s="228"/>
      <c r="B58" s="502" t="s">
        <v>663</v>
      </c>
      <c r="C58" s="333"/>
      <c r="D58" s="91">
        <f t="shared" ca="1" si="28"/>
        <v>0</v>
      </c>
      <c r="E58" s="91">
        <f t="shared" ca="1" si="29"/>
        <v>0</v>
      </c>
      <c r="F58" s="91">
        <f t="shared" ca="1" si="30"/>
        <v>0</v>
      </c>
      <c r="G58" s="239">
        <v>0</v>
      </c>
      <c r="H58" s="92">
        <f t="shared" ca="1" si="31"/>
        <v>0</v>
      </c>
      <c r="I58" s="91">
        <f t="shared" ca="1" si="32"/>
        <v>1</v>
      </c>
      <c r="J58" s="225">
        <f t="shared" ca="1" si="33"/>
        <v>0</v>
      </c>
      <c r="K58" s="226"/>
      <c r="L58" s="70"/>
      <c r="M58" s="25"/>
      <c r="N58" s="25"/>
      <c r="O58" s="72"/>
      <c r="P58" s="72"/>
      <c r="Q58" s="72"/>
      <c r="R58" s="25"/>
      <c r="S58" s="34"/>
      <c r="T58" s="34"/>
      <c r="U58" s="34"/>
      <c r="V58" s="34"/>
      <c r="W58" s="226"/>
      <c r="X58" s="25"/>
      <c r="Y58" s="25"/>
      <c r="Z58" s="25"/>
      <c r="AA58" s="25"/>
      <c r="AB58" s="25"/>
      <c r="AC58" s="25"/>
      <c r="AD58" s="25"/>
      <c r="AE58" s="25"/>
      <c r="AH58" s="25"/>
      <c r="AI58" s="25"/>
      <c r="AJ58" s="25"/>
      <c r="AK58" s="25"/>
      <c r="AL58" s="83"/>
      <c r="AM58" s="83"/>
      <c r="AN58" s="83"/>
      <c r="AO58" s="83"/>
    </row>
    <row r="59" spans="1:41" ht="13.5" thickBot="1" x14ac:dyDescent="0.25">
      <c r="A59" s="31"/>
      <c r="B59" s="699" t="s">
        <v>664</v>
      </c>
      <c r="C59" s="333"/>
      <c r="D59" s="91">
        <f t="shared" ca="1" si="28"/>
        <v>0</v>
      </c>
      <c r="E59" s="91">
        <f t="shared" ca="1" si="29"/>
        <v>0</v>
      </c>
      <c r="F59" s="91">
        <f t="shared" ca="1" si="30"/>
        <v>0</v>
      </c>
      <c r="G59" s="239">
        <v>0</v>
      </c>
      <c r="H59" s="92">
        <f t="shared" ca="1" si="31"/>
        <v>0</v>
      </c>
      <c r="I59" s="91">
        <f t="shared" ca="1" si="32"/>
        <v>1</v>
      </c>
      <c r="J59" s="225">
        <f t="shared" ca="1" si="33"/>
        <v>0</v>
      </c>
      <c r="K59" s="63"/>
      <c r="L59" s="70"/>
      <c r="M59" s="71"/>
      <c r="N59" s="71"/>
      <c r="Q59" s="34"/>
      <c r="R59" s="34"/>
      <c r="S59" s="34"/>
      <c r="T59" s="34"/>
      <c r="U59" s="34"/>
      <c r="V59" s="34"/>
      <c r="W59" s="11"/>
      <c r="X59" s="11"/>
      <c r="Y59" s="11"/>
      <c r="Z59" s="11"/>
      <c r="AA59" s="11"/>
      <c r="AB59" s="11"/>
      <c r="AC59" s="11"/>
      <c r="AD59" s="11"/>
      <c r="AE59" s="11"/>
      <c r="AH59" s="53"/>
      <c r="AI59" s="36"/>
      <c r="AJ59" s="52"/>
      <c r="AK59" s="25"/>
      <c r="AL59" s="83"/>
      <c r="AM59" s="83"/>
      <c r="AN59" s="86"/>
      <c r="AO59" s="86"/>
    </row>
    <row r="60" spans="1:41" ht="13.5" thickBot="1" x14ac:dyDescent="0.25">
      <c r="A60" s="31"/>
      <c r="B60" s="769" t="s">
        <v>618</v>
      </c>
      <c r="C60" s="770"/>
      <c r="D60" s="251">
        <f ca="1">SUM(D43:D50)+SUM(D52:D59)</f>
        <v>2.5087519245332009E-3</v>
      </c>
      <c r="E60" s="251">
        <f ca="1">SUM(E43:E50)+SUM(E52:E59)</f>
        <v>1.4504657392100495E-3</v>
      </c>
      <c r="F60" s="251">
        <f ca="1">SUM(F43:F50)+SUM(F52:F59)</f>
        <v>1.0582861853231517E-3</v>
      </c>
      <c r="G60" s="255">
        <f>SUM(G43:G50)+SUM(G52:G59)</f>
        <v>0</v>
      </c>
      <c r="H60" s="256"/>
      <c r="I60" s="256"/>
      <c r="J60" s="257">
        <f ca="1">SUM(J43:J50)+SUM(J52:J59)</f>
        <v>2.5016147704654788E-3</v>
      </c>
      <c r="K60" s="63"/>
      <c r="L60" s="70"/>
      <c r="M60" s="71"/>
      <c r="N60" s="71"/>
      <c r="Q60" s="34"/>
      <c r="R60" s="34"/>
      <c r="S60" s="34"/>
      <c r="T60" s="34"/>
      <c r="U60" s="34"/>
      <c r="V60" s="34"/>
      <c r="W60" s="11"/>
      <c r="X60" s="11"/>
      <c r="Y60" s="11"/>
      <c r="Z60" s="11"/>
      <c r="AA60" s="11"/>
      <c r="AB60" s="11"/>
      <c r="AC60" s="11"/>
      <c r="AD60" s="11"/>
      <c r="AE60" s="11"/>
      <c r="AH60" s="53"/>
      <c r="AI60" s="36"/>
      <c r="AJ60" s="52"/>
      <c r="AK60" s="25"/>
      <c r="AL60" s="83"/>
      <c r="AM60" s="83"/>
      <c r="AN60" s="86"/>
      <c r="AO60" s="86"/>
    </row>
    <row r="61" spans="1:41" ht="14.25" thickTop="1" thickBot="1" x14ac:dyDescent="0.25">
      <c r="A61" s="35"/>
      <c r="B61" s="724" t="s">
        <v>110</v>
      </c>
      <c r="C61" s="725"/>
      <c r="D61" s="232">
        <f ca="1">SUM(D14:D39)+SUM(D43:D59)</f>
        <v>2.5087519245332009E-3</v>
      </c>
      <c r="E61" s="232">
        <f ca="1">SUM(E14:E39)+SUM(E43:E59)</f>
        <v>1.4504657392100495E-3</v>
      </c>
      <c r="F61" s="232">
        <f ca="1">SUM(F14:F39)+SUM(F43:F59)</f>
        <v>1.0582861853231517E-3</v>
      </c>
      <c r="G61" s="232">
        <f>SUM(G14:G39)+SUM(G43:G59)</f>
        <v>0</v>
      </c>
      <c r="H61" s="212" t="s">
        <v>14</v>
      </c>
      <c r="I61" s="212" t="s">
        <v>14</v>
      </c>
      <c r="J61" s="233">
        <f ca="1">SUM(J14:J39)+SUM(J43:J59)</f>
        <v>2.5016147704654788E-3</v>
      </c>
      <c r="K61" s="63"/>
      <c r="N61" s="11"/>
      <c r="O61" s="11"/>
      <c r="P61" s="11"/>
      <c r="Q61" s="11"/>
      <c r="R61" s="11"/>
      <c r="S61" s="11"/>
      <c r="T61" s="11"/>
      <c r="U61" s="11"/>
      <c r="V61" s="11"/>
      <c r="W61" s="11"/>
      <c r="X61" s="11"/>
      <c r="Y61" s="11"/>
      <c r="Z61" s="11"/>
      <c r="AA61" s="11"/>
      <c r="AB61" s="11"/>
      <c r="AC61" s="11"/>
      <c r="AD61" s="11"/>
      <c r="AE61" s="11"/>
      <c r="AH61" s="36"/>
      <c r="AI61" s="36"/>
      <c r="AJ61" s="25"/>
      <c r="AK61" s="25"/>
      <c r="AL61" s="83"/>
      <c r="AM61" s="83"/>
      <c r="AN61" s="83"/>
      <c r="AO61" s="83"/>
    </row>
    <row r="62" spans="1:41" x14ac:dyDescent="0.2">
      <c r="A62" s="33"/>
      <c r="B62" s="44"/>
      <c r="C62" s="38"/>
      <c r="D62" s="38"/>
      <c r="F62" s="33"/>
      <c r="H62" s="33"/>
      <c r="K62" s="63"/>
      <c r="N62" s="11"/>
      <c r="O62" s="11"/>
      <c r="P62" s="11"/>
      <c r="Q62" s="11"/>
      <c r="R62" s="11"/>
      <c r="S62" s="11"/>
      <c r="T62" s="11"/>
      <c r="U62" s="11"/>
      <c r="V62" s="11"/>
      <c r="W62" s="11"/>
      <c r="X62" s="11"/>
      <c r="Y62" s="11"/>
      <c r="Z62" s="11"/>
      <c r="AA62" s="11"/>
      <c r="AB62" s="11"/>
      <c r="AC62" s="11"/>
      <c r="AD62" s="11"/>
      <c r="AE62" s="11"/>
      <c r="AH62" s="36"/>
      <c r="AI62" s="36"/>
      <c r="AJ62" s="52"/>
      <c r="AK62" s="28"/>
      <c r="AL62" s="28"/>
      <c r="AM62" s="28"/>
      <c r="AN62" s="28"/>
      <c r="AO62" s="28"/>
    </row>
    <row r="63" spans="1:41" x14ac:dyDescent="0.2">
      <c r="A63" s="33"/>
      <c r="B63" s="44"/>
      <c r="C63" s="38"/>
      <c r="D63" s="38"/>
      <c r="F63" s="33"/>
      <c r="H63" s="33"/>
      <c r="K63" s="63"/>
      <c r="N63" s="11"/>
      <c r="O63" s="11"/>
      <c r="P63" s="11"/>
      <c r="Q63" s="11"/>
      <c r="R63" s="11"/>
      <c r="S63" s="11"/>
      <c r="T63" s="11"/>
      <c r="U63" s="11"/>
      <c r="V63" s="11"/>
      <c r="W63" s="11"/>
      <c r="X63" s="11"/>
      <c r="Y63" s="11"/>
      <c r="Z63" s="11"/>
      <c r="AA63" s="11"/>
      <c r="AB63" s="11"/>
      <c r="AC63" s="11"/>
      <c r="AD63" s="11"/>
      <c r="AE63" s="11"/>
      <c r="AH63" s="36"/>
      <c r="AI63" s="36"/>
      <c r="AJ63" s="52"/>
      <c r="AK63" s="28"/>
      <c r="AL63" s="28"/>
      <c r="AM63" s="28"/>
      <c r="AN63" s="28"/>
      <c r="AO63" s="28"/>
    </row>
    <row r="64" spans="1:41" ht="13.5" thickBot="1" x14ac:dyDescent="0.25">
      <c r="A64" s="33"/>
      <c r="B64" s="44"/>
      <c r="C64" s="38"/>
      <c r="D64" s="38"/>
      <c r="F64" s="33"/>
      <c r="H64" s="33"/>
      <c r="K64" s="63"/>
      <c r="N64" s="11"/>
      <c r="O64" s="11"/>
      <c r="P64" s="11"/>
      <c r="Q64" s="11"/>
      <c r="R64" s="11"/>
      <c r="S64" s="11"/>
      <c r="T64" s="11"/>
      <c r="U64" s="11"/>
      <c r="V64" s="11"/>
      <c r="W64" s="11"/>
      <c r="X64" s="11"/>
      <c r="Y64" s="11"/>
      <c r="Z64" s="11"/>
      <c r="AA64" s="11"/>
      <c r="AB64" s="11"/>
      <c r="AC64" s="11"/>
      <c r="AD64" s="11"/>
      <c r="AE64" s="11"/>
      <c r="AH64" s="36"/>
      <c r="AI64" s="36"/>
      <c r="AJ64" s="52"/>
      <c r="AK64" s="28"/>
      <c r="AL64" s="28"/>
      <c r="AM64" s="28"/>
      <c r="AN64" s="28"/>
      <c r="AO64" s="28"/>
    </row>
    <row r="65" spans="1:41" ht="13.5" thickTop="1" x14ac:dyDescent="0.2">
      <c r="A65" s="33"/>
      <c r="B65" s="44"/>
      <c r="C65" s="38"/>
      <c r="E65" s="709" t="s">
        <v>529</v>
      </c>
      <c r="F65" s="762"/>
      <c r="G65" s="762"/>
      <c r="H65" s="762"/>
      <c r="I65" s="60"/>
      <c r="N65" s="11"/>
      <c r="O65" s="11"/>
      <c r="P65" s="11"/>
      <c r="Q65" s="11"/>
      <c r="R65" s="11"/>
      <c r="S65" s="11"/>
      <c r="T65" s="11"/>
      <c r="U65" s="11"/>
      <c r="V65" s="11"/>
      <c r="W65" s="11"/>
      <c r="X65" s="11"/>
      <c r="Y65" s="11"/>
      <c r="Z65" s="11"/>
      <c r="AA65" s="11"/>
      <c r="AB65" s="11"/>
      <c r="AC65" s="11"/>
      <c r="AD65" s="11"/>
      <c r="AE65" s="11"/>
      <c r="AH65" s="36"/>
      <c r="AI65" s="36"/>
      <c r="AJ65" s="52"/>
      <c r="AK65" s="28"/>
      <c r="AL65" s="28"/>
      <c r="AM65" s="28"/>
      <c r="AN65" s="28"/>
      <c r="AO65" s="28"/>
    </row>
    <row r="66" spans="1:41" ht="13.5" thickBot="1" x14ac:dyDescent="0.25">
      <c r="A66" s="33"/>
      <c r="B66" s="44"/>
      <c r="C66" s="38"/>
      <c r="E66" s="763"/>
      <c r="F66" s="763"/>
      <c r="G66" s="763"/>
      <c r="H66" s="763"/>
      <c r="I66" s="60"/>
      <c r="N66" s="11"/>
      <c r="O66" s="11"/>
      <c r="P66" s="11"/>
      <c r="Q66" s="11"/>
      <c r="R66" s="11"/>
      <c r="S66" s="11"/>
      <c r="T66" s="11"/>
      <c r="U66" s="11"/>
      <c r="V66" s="11"/>
      <c r="W66" s="11"/>
      <c r="X66" s="11"/>
      <c r="Y66" s="11"/>
      <c r="Z66" s="11"/>
      <c r="AA66" s="11"/>
      <c r="AB66" s="11"/>
      <c r="AC66" s="11"/>
      <c r="AD66" s="11"/>
      <c r="AE66" s="11"/>
      <c r="AH66" s="36"/>
      <c r="AI66" s="36"/>
      <c r="AJ66" s="52"/>
      <c r="AK66" s="28"/>
      <c r="AL66" s="28"/>
      <c r="AM66" s="28"/>
      <c r="AN66" s="28"/>
      <c r="AO66" s="28"/>
    </row>
    <row r="67" spans="1:41" x14ac:dyDescent="0.2">
      <c r="A67" s="33"/>
      <c r="B67" s="44"/>
      <c r="C67" s="38"/>
      <c r="E67" s="738" t="s">
        <v>16</v>
      </c>
      <c r="F67" s="323"/>
      <c r="G67" s="41" t="s">
        <v>17</v>
      </c>
      <c r="H67" s="88" t="s">
        <v>18</v>
      </c>
      <c r="N67" s="11"/>
      <c r="O67" s="11"/>
      <c r="P67" s="11"/>
      <c r="Q67" s="11"/>
      <c r="R67" s="11"/>
      <c r="S67" s="11"/>
      <c r="T67" s="11"/>
      <c r="U67" s="11"/>
      <c r="V67" s="11"/>
      <c r="W67" s="11"/>
      <c r="X67" s="11"/>
      <c r="Y67" s="11"/>
      <c r="Z67" s="11"/>
      <c r="AA67" s="11"/>
      <c r="AB67" s="11"/>
      <c r="AC67" s="11"/>
      <c r="AD67" s="11"/>
      <c r="AE67" s="11"/>
      <c r="AH67" s="36"/>
      <c r="AI67" s="36"/>
      <c r="AJ67" s="52"/>
      <c r="AK67" s="28"/>
      <c r="AL67" s="28"/>
      <c r="AM67" s="28"/>
      <c r="AN67" s="28"/>
      <c r="AO67" s="28"/>
    </row>
    <row r="68" spans="1:41" ht="15" thickBot="1" x14ac:dyDescent="0.3">
      <c r="A68" s="33"/>
      <c r="B68" s="44"/>
      <c r="C68" s="38"/>
      <c r="E68" s="768" t="s">
        <v>530</v>
      </c>
      <c r="F68" s="768"/>
      <c r="G68" s="182" t="s">
        <v>531</v>
      </c>
      <c r="H68" s="45" t="s">
        <v>532</v>
      </c>
      <c r="N68" s="11"/>
      <c r="O68" s="11"/>
      <c r="P68" s="11"/>
      <c r="Q68" s="11"/>
      <c r="R68" s="11"/>
      <c r="S68" s="11"/>
      <c r="T68" s="11"/>
      <c r="U68" s="11"/>
      <c r="V68" s="11"/>
      <c r="W68" s="11"/>
      <c r="X68" s="11"/>
      <c r="Y68" s="11"/>
      <c r="Z68" s="11"/>
      <c r="AA68" s="11"/>
      <c r="AB68" s="11"/>
      <c r="AC68" s="11"/>
      <c r="AD68" s="11"/>
      <c r="AE68" s="11"/>
      <c r="AH68" s="36"/>
      <c r="AI68" s="36"/>
      <c r="AJ68" s="52"/>
      <c r="AK68" s="28"/>
      <c r="AL68" s="28"/>
      <c r="AM68" s="28"/>
      <c r="AN68" s="28"/>
      <c r="AO68" s="28"/>
    </row>
    <row r="69" spans="1:41" x14ac:dyDescent="0.2">
      <c r="A69" s="33"/>
      <c r="B69" s="44"/>
      <c r="C69" s="38"/>
      <c r="E69" s="744" t="s">
        <v>113</v>
      </c>
      <c r="F69" s="744"/>
      <c r="G69" s="744"/>
      <c r="H69" s="744"/>
      <c r="I69" s="45"/>
      <c r="N69" s="11"/>
      <c r="O69" s="11"/>
      <c r="P69" s="11"/>
      <c r="Q69" s="11"/>
      <c r="R69" s="11"/>
      <c r="S69" s="11"/>
      <c r="T69" s="11"/>
      <c r="U69" s="11"/>
      <c r="V69" s="11"/>
      <c r="W69" s="11"/>
      <c r="X69" s="11"/>
      <c r="Y69" s="11"/>
      <c r="Z69" s="11"/>
      <c r="AA69" s="11"/>
      <c r="AB69" s="11"/>
      <c r="AC69" s="11"/>
      <c r="AD69" s="11"/>
      <c r="AE69" s="11"/>
      <c r="AH69" s="36"/>
      <c r="AI69" s="36"/>
      <c r="AJ69" s="52"/>
      <c r="AK69" s="28"/>
      <c r="AL69" s="28"/>
      <c r="AM69" s="28"/>
      <c r="AN69" s="28"/>
      <c r="AO69" s="28"/>
    </row>
    <row r="70" spans="1:41" x14ac:dyDescent="0.2">
      <c r="A70" s="33"/>
      <c r="B70" s="44"/>
      <c r="C70" s="38"/>
      <c r="E70" s="697" t="s">
        <v>649</v>
      </c>
      <c r="F70" s="502"/>
      <c r="G70" s="183">
        <f ca="1">IFERROR(INDIRECT(E70 &amp; "!" &amp; "$M$137"),0)</f>
        <v>0</v>
      </c>
      <c r="H70" s="185">
        <f ca="1">IFERROR(INDIRECT(E70 &amp; "!" &amp; "$M$147"),0)</f>
        <v>0</v>
      </c>
      <c r="N70" s="11"/>
      <c r="O70" s="11"/>
      <c r="P70" s="11"/>
      <c r="Q70" s="11"/>
      <c r="R70" s="11"/>
      <c r="S70" s="11"/>
      <c r="T70" s="11"/>
      <c r="U70" s="11"/>
      <c r="V70" s="11"/>
      <c r="W70" s="11"/>
      <c r="X70" s="11"/>
      <c r="Y70" s="11"/>
      <c r="Z70" s="11"/>
      <c r="AA70" s="11"/>
      <c r="AB70" s="11"/>
      <c r="AC70" s="11"/>
      <c r="AD70" s="11"/>
      <c r="AE70" s="11"/>
      <c r="AH70" s="36"/>
      <c r="AI70" s="36"/>
      <c r="AJ70" s="52"/>
      <c r="AK70" s="28"/>
      <c r="AL70" s="28"/>
      <c r="AM70" s="28"/>
      <c r="AN70" s="28"/>
      <c r="AO70" s="28"/>
    </row>
    <row r="71" spans="1:41" x14ac:dyDescent="0.2">
      <c r="A71" s="33"/>
      <c r="B71" s="44"/>
      <c r="C71" s="38"/>
      <c r="E71" s="697" t="s">
        <v>650</v>
      </c>
      <c r="F71" s="502"/>
      <c r="G71" s="183">
        <f t="shared" ref="G71:G77" ca="1" si="34">IFERROR(INDIRECT(E71 &amp; "!" &amp; "$M$137"),0)</f>
        <v>0</v>
      </c>
      <c r="H71" s="185">
        <f t="shared" ref="H71:H77" ca="1" si="35">IFERROR(INDIRECT(E71 &amp; "!" &amp; "$M$147"),0)</f>
        <v>0</v>
      </c>
      <c r="N71" s="11"/>
      <c r="O71" s="11"/>
      <c r="P71" s="11"/>
      <c r="Q71" s="11"/>
      <c r="R71" s="11"/>
      <c r="S71" s="11"/>
      <c r="T71" s="11"/>
      <c r="U71" s="11"/>
      <c r="V71" s="11"/>
      <c r="W71" s="11"/>
      <c r="X71" s="11"/>
      <c r="Y71" s="11"/>
      <c r="Z71" s="11"/>
      <c r="AA71" s="11"/>
      <c r="AB71" s="11"/>
      <c r="AC71" s="11"/>
      <c r="AD71" s="11"/>
      <c r="AE71" s="11"/>
      <c r="AH71" s="36"/>
      <c r="AI71" s="36"/>
      <c r="AJ71" s="52"/>
      <c r="AK71" s="28"/>
      <c r="AL71" s="28"/>
      <c r="AM71" s="28"/>
      <c r="AN71" s="28"/>
      <c r="AO71" s="28"/>
    </row>
    <row r="72" spans="1:41" s="227" customFormat="1" x14ac:dyDescent="0.2">
      <c r="A72" s="33"/>
      <c r="B72" s="44"/>
      <c r="C72" s="230"/>
      <c r="E72" s="697" t="s">
        <v>651</v>
      </c>
      <c r="F72" s="502"/>
      <c r="G72" s="183">
        <f t="shared" ca="1" si="34"/>
        <v>0</v>
      </c>
      <c r="H72" s="185">
        <f t="shared" ca="1" si="35"/>
        <v>0</v>
      </c>
      <c r="N72" s="11"/>
      <c r="O72" s="11"/>
      <c r="P72" s="11"/>
      <c r="Q72" s="11"/>
      <c r="R72" s="11"/>
      <c r="S72" s="11"/>
      <c r="T72" s="11"/>
      <c r="U72" s="11"/>
      <c r="V72" s="11"/>
      <c r="W72" s="11"/>
      <c r="X72" s="11"/>
      <c r="Y72" s="11"/>
      <c r="Z72" s="11"/>
      <c r="AA72" s="11"/>
      <c r="AB72" s="11"/>
      <c r="AC72" s="11"/>
      <c r="AD72" s="11"/>
      <c r="AE72" s="11"/>
      <c r="AH72" s="36"/>
      <c r="AI72" s="36"/>
      <c r="AJ72" s="52"/>
      <c r="AK72" s="228"/>
      <c r="AL72" s="228"/>
      <c r="AM72" s="228"/>
      <c r="AN72" s="228"/>
      <c r="AO72" s="228"/>
    </row>
    <row r="73" spans="1:41" s="227" customFormat="1" x14ac:dyDescent="0.2">
      <c r="A73" s="33"/>
      <c r="B73" s="44"/>
      <c r="C73" s="230"/>
      <c r="E73" s="697" t="s">
        <v>652</v>
      </c>
      <c r="F73" s="502"/>
      <c r="G73" s="183">
        <f t="shared" ca="1" si="34"/>
        <v>0</v>
      </c>
      <c r="H73" s="185">
        <f t="shared" ca="1" si="35"/>
        <v>0</v>
      </c>
      <c r="N73" s="11"/>
      <c r="O73" s="11"/>
      <c r="P73" s="11"/>
      <c r="Q73" s="11"/>
      <c r="R73" s="11"/>
      <c r="S73" s="11"/>
      <c r="T73" s="11"/>
      <c r="U73" s="11"/>
      <c r="V73" s="11"/>
      <c r="W73" s="11"/>
      <c r="X73" s="11"/>
      <c r="Y73" s="11"/>
      <c r="Z73" s="11"/>
      <c r="AA73" s="11"/>
      <c r="AB73" s="11"/>
      <c r="AC73" s="11"/>
      <c r="AD73" s="11"/>
      <c r="AE73" s="11"/>
      <c r="AH73" s="36"/>
      <c r="AI73" s="36"/>
      <c r="AJ73" s="52"/>
      <c r="AK73" s="228"/>
      <c r="AL73" s="228"/>
      <c r="AM73" s="228"/>
      <c r="AN73" s="228"/>
      <c r="AO73" s="228"/>
    </row>
    <row r="74" spans="1:41" s="227" customFormat="1" x14ac:dyDescent="0.2">
      <c r="A74" s="33"/>
      <c r="B74" s="44"/>
      <c r="C74" s="230"/>
      <c r="E74" s="697" t="s">
        <v>653</v>
      </c>
      <c r="F74" s="502"/>
      <c r="G74" s="183">
        <f t="shared" ca="1" si="34"/>
        <v>0</v>
      </c>
      <c r="H74" s="185">
        <f t="shared" ca="1" si="35"/>
        <v>0</v>
      </c>
      <c r="N74" s="11"/>
      <c r="O74" s="11"/>
      <c r="P74" s="11"/>
      <c r="Q74" s="11"/>
      <c r="R74" s="11"/>
      <c r="S74" s="11"/>
      <c r="T74" s="11"/>
      <c r="U74" s="11"/>
      <c r="V74" s="11"/>
      <c r="W74" s="11"/>
      <c r="X74" s="11"/>
      <c r="Y74" s="11"/>
      <c r="Z74" s="11"/>
      <c r="AA74" s="11"/>
      <c r="AB74" s="11"/>
      <c r="AC74" s="11"/>
      <c r="AD74" s="11"/>
      <c r="AE74" s="11"/>
      <c r="AH74" s="36"/>
      <c r="AI74" s="36"/>
      <c r="AJ74" s="52"/>
      <c r="AK74" s="228"/>
      <c r="AL74" s="228"/>
      <c r="AM74" s="228"/>
      <c r="AN74" s="228"/>
      <c r="AO74" s="228"/>
    </row>
    <row r="75" spans="1:41" s="227" customFormat="1" x14ac:dyDescent="0.2">
      <c r="A75" s="33"/>
      <c r="B75" s="44"/>
      <c r="C75" s="230"/>
      <c r="E75" s="697" t="s">
        <v>654</v>
      </c>
      <c r="F75" s="502"/>
      <c r="G75" s="183">
        <f t="shared" ca="1" si="34"/>
        <v>0</v>
      </c>
      <c r="H75" s="185">
        <f t="shared" ca="1" si="35"/>
        <v>0</v>
      </c>
      <c r="N75" s="11"/>
      <c r="O75" s="11"/>
      <c r="P75" s="11"/>
      <c r="Q75" s="11"/>
      <c r="R75" s="11"/>
      <c r="S75" s="11"/>
      <c r="T75" s="11"/>
      <c r="U75" s="11"/>
      <c r="V75" s="11"/>
      <c r="W75" s="11"/>
      <c r="X75" s="11"/>
      <c r="Y75" s="11"/>
      <c r="Z75" s="11"/>
      <c r="AA75" s="11"/>
      <c r="AB75" s="11"/>
      <c r="AC75" s="11"/>
      <c r="AD75" s="11"/>
      <c r="AE75" s="11"/>
      <c r="AH75" s="36"/>
      <c r="AI75" s="36"/>
      <c r="AJ75" s="52"/>
      <c r="AK75" s="228"/>
      <c r="AL75" s="228"/>
      <c r="AM75" s="228"/>
      <c r="AN75" s="228"/>
      <c r="AO75" s="228"/>
    </row>
    <row r="76" spans="1:41" x14ac:dyDescent="0.2">
      <c r="A76" s="33"/>
      <c r="B76" s="44"/>
      <c r="C76" s="38"/>
      <c r="E76" s="697" t="s">
        <v>655</v>
      </c>
      <c r="F76" s="502"/>
      <c r="G76" s="183">
        <f t="shared" ca="1" si="34"/>
        <v>0</v>
      </c>
      <c r="H76" s="185">
        <f t="shared" ca="1" si="35"/>
        <v>0</v>
      </c>
      <c r="N76" s="11"/>
      <c r="O76" s="11"/>
      <c r="P76" s="11"/>
      <c r="Q76" s="11"/>
      <c r="R76" s="11"/>
      <c r="S76" s="11"/>
      <c r="T76" s="11"/>
      <c r="U76" s="11"/>
      <c r="V76" s="11"/>
      <c r="W76" s="11"/>
      <c r="X76" s="11"/>
      <c r="Y76" s="11"/>
      <c r="Z76" s="11"/>
      <c r="AA76" s="11"/>
      <c r="AB76" s="11"/>
      <c r="AC76" s="11"/>
      <c r="AD76" s="11"/>
      <c r="AE76" s="11"/>
      <c r="AH76" s="36"/>
      <c r="AI76" s="36"/>
      <c r="AJ76" s="52"/>
      <c r="AK76" s="28"/>
      <c r="AL76" s="28"/>
      <c r="AM76" s="28"/>
      <c r="AN76" s="28"/>
      <c r="AO76" s="28"/>
    </row>
    <row r="77" spans="1:41" x14ac:dyDescent="0.2">
      <c r="A77" s="33"/>
      <c r="B77" s="44"/>
      <c r="C77" s="38"/>
      <c r="E77" s="697" t="s">
        <v>656</v>
      </c>
      <c r="F77" s="502"/>
      <c r="G77" s="183">
        <f t="shared" ca="1" si="34"/>
        <v>0</v>
      </c>
      <c r="H77" s="185">
        <f t="shared" ca="1" si="35"/>
        <v>0</v>
      </c>
      <c r="N77" s="11"/>
      <c r="O77" s="11"/>
      <c r="P77" s="11"/>
      <c r="Q77" s="11"/>
      <c r="R77" s="11"/>
      <c r="S77" s="11"/>
      <c r="T77" s="11"/>
      <c r="U77" s="11"/>
      <c r="V77" s="11"/>
      <c r="W77" s="11"/>
      <c r="X77" s="11"/>
      <c r="Y77" s="11"/>
      <c r="Z77" s="11"/>
      <c r="AA77" s="11"/>
      <c r="AB77" s="11"/>
      <c r="AC77" s="11"/>
      <c r="AD77" s="11"/>
      <c r="AE77" s="11"/>
      <c r="AH77" s="36"/>
      <c r="AI77" s="36"/>
      <c r="AJ77" s="52"/>
      <c r="AK77" s="28"/>
      <c r="AL77" s="28"/>
      <c r="AM77" s="28"/>
      <c r="AN77" s="28"/>
      <c r="AO77" s="28"/>
    </row>
    <row r="78" spans="1:41" x14ac:dyDescent="0.2">
      <c r="A78" s="33"/>
      <c r="B78" s="44"/>
      <c r="C78" s="38"/>
      <c r="E78" s="695" t="s">
        <v>114</v>
      </c>
      <c r="F78" s="696"/>
      <c r="G78" s="696"/>
      <c r="H78" s="431"/>
      <c r="N78" s="11"/>
      <c r="O78" s="11"/>
      <c r="P78" s="11"/>
      <c r="Q78" s="11"/>
      <c r="R78" s="11"/>
      <c r="S78" s="11"/>
      <c r="T78" s="11"/>
      <c r="U78" s="11"/>
      <c r="V78" s="11"/>
      <c r="W78" s="11"/>
      <c r="X78" s="11"/>
      <c r="Y78" s="11"/>
      <c r="Z78" s="11"/>
      <c r="AA78" s="11"/>
      <c r="AB78" s="11"/>
      <c r="AC78" s="11"/>
      <c r="AD78" s="11"/>
      <c r="AE78" s="11"/>
      <c r="AH78" s="36"/>
      <c r="AI78" s="36"/>
      <c r="AJ78" s="52"/>
      <c r="AK78" s="28"/>
      <c r="AL78" s="28"/>
      <c r="AM78" s="28"/>
      <c r="AN78" s="28"/>
      <c r="AO78" s="28"/>
    </row>
    <row r="79" spans="1:41" x14ac:dyDescent="0.2">
      <c r="A79" s="33"/>
      <c r="B79" s="44"/>
      <c r="C79" s="38"/>
      <c r="E79" s="697" t="s">
        <v>657</v>
      </c>
      <c r="F79" s="502"/>
      <c r="G79" s="183">
        <f ca="1">IFERROR(INDIRECT(E79 &amp; "!" &amp; "$F$170"),0)</f>
        <v>5.2683790415197219E-5</v>
      </c>
      <c r="H79" s="185">
        <f ca="1">IFERROR(INDIRECT(E79 &amp; "!" &amp; "$F$171"),0)</f>
        <v>4.0140030792531216E-5</v>
      </c>
      <c r="N79" s="11"/>
      <c r="O79" s="11"/>
      <c r="P79" s="11"/>
      <c r="Q79" s="11"/>
      <c r="R79" s="11"/>
      <c r="S79" s="11"/>
      <c r="T79" s="11"/>
      <c r="U79" s="11"/>
      <c r="V79" s="11"/>
      <c r="W79" s="11"/>
      <c r="X79" s="11"/>
      <c r="Y79" s="11"/>
      <c r="Z79" s="11"/>
      <c r="AA79" s="11"/>
      <c r="AB79" s="11"/>
      <c r="AC79" s="11"/>
      <c r="AD79" s="11"/>
      <c r="AE79" s="11"/>
      <c r="AH79" s="36"/>
      <c r="AI79" s="36"/>
      <c r="AJ79" s="52"/>
      <c r="AK79" s="28"/>
      <c r="AL79" s="28"/>
      <c r="AM79" s="28"/>
      <c r="AN79" s="28"/>
      <c r="AO79" s="28"/>
    </row>
    <row r="80" spans="1:41" x14ac:dyDescent="0.2">
      <c r="A80" s="33"/>
      <c r="B80" s="44"/>
      <c r="C80" s="38"/>
      <c r="E80" s="698" t="s">
        <v>658</v>
      </c>
      <c r="F80" s="699"/>
      <c r="G80" s="183">
        <f t="shared" ref="G80:G86" ca="1" si="36">IFERROR(INDIRECT(E80 &amp; "!" &amp; "$F$170"),0)</f>
        <v>0</v>
      </c>
      <c r="H80" s="185">
        <f t="shared" ref="H80:H86" ca="1" si="37">IFERROR(INDIRECT(E80 &amp; "!" &amp; "$F$171"),0)</f>
        <v>0</v>
      </c>
      <c r="N80" s="11"/>
      <c r="O80" s="11"/>
      <c r="P80" s="11"/>
      <c r="Q80" s="11"/>
      <c r="R80" s="11"/>
      <c r="S80" s="11"/>
      <c r="T80" s="11"/>
      <c r="U80" s="11"/>
      <c r="V80" s="11"/>
      <c r="W80" s="11"/>
      <c r="X80" s="11"/>
      <c r="Y80" s="11"/>
      <c r="Z80" s="11"/>
      <c r="AA80" s="11"/>
      <c r="AB80" s="11"/>
      <c r="AC80" s="11"/>
      <c r="AD80" s="11"/>
      <c r="AE80" s="11"/>
      <c r="AH80" s="36"/>
      <c r="AI80" s="36"/>
      <c r="AJ80" s="52"/>
      <c r="AK80" s="28"/>
      <c r="AL80" s="28"/>
      <c r="AM80" s="28"/>
      <c r="AN80" s="28"/>
      <c r="AO80" s="28"/>
    </row>
    <row r="81" spans="1:41" s="227" customFormat="1" x14ac:dyDescent="0.2">
      <c r="A81" s="33"/>
      <c r="B81" s="44"/>
      <c r="C81" s="230"/>
      <c r="E81" s="698" t="s">
        <v>659</v>
      </c>
      <c r="F81" s="699"/>
      <c r="G81" s="183">
        <f t="shared" ca="1" si="36"/>
        <v>0</v>
      </c>
      <c r="H81" s="185">
        <f t="shared" ca="1" si="37"/>
        <v>0</v>
      </c>
      <c r="N81" s="11"/>
      <c r="O81" s="11"/>
      <c r="P81" s="11"/>
      <c r="Q81" s="11"/>
      <c r="R81" s="11"/>
      <c r="S81" s="11"/>
      <c r="T81" s="11"/>
      <c r="U81" s="11"/>
      <c r="V81" s="11"/>
      <c r="W81" s="11"/>
      <c r="X81" s="11"/>
      <c r="Y81" s="11"/>
      <c r="Z81" s="11"/>
      <c r="AA81" s="11"/>
      <c r="AB81" s="11"/>
      <c r="AC81" s="11"/>
      <c r="AD81" s="11"/>
      <c r="AE81" s="11"/>
      <c r="AH81" s="36"/>
      <c r="AI81" s="36"/>
      <c r="AJ81" s="52"/>
      <c r="AK81" s="228"/>
      <c r="AL81" s="228"/>
      <c r="AM81" s="228"/>
      <c r="AN81" s="228"/>
      <c r="AO81" s="228"/>
    </row>
    <row r="82" spans="1:41" s="227" customFormat="1" x14ac:dyDescent="0.2">
      <c r="A82" s="33"/>
      <c r="B82" s="44"/>
      <c r="C82" s="230"/>
      <c r="E82" s="698" t="s">
        <v>660</v>
      </c>
      <c r="F82" s="699"/>
      <c r="G82" s="183">
        <f t="shared" ca="1" si="36"/>
        <v>0</v>
      </c>
      <c r="H82" s="185">
        <f t="shared" ca="1" si="37"/>
        <v>0</v>
      </c>
      <c r="N82" s="11"/>
      <c r="O82" s="11"/>
      <c r="P82" s="11"/>
      <c r="Q82" s="11"/>
      <c r="R82" s="11"/>
      <c r="S82" s="11"/>
      <c r="T82" s="11"/>
      <c r="U82" s="11"/>
      <c r="V82" s="11"/>
      <c r="W82" s="11"/>
      <c r="X82" s="11"/>
      <c r="Y82" s="11"/>
      <c r="Z82" s="11"/>
      <c r="AA82" s="11"/>
      <c r="AB82" s="11"/>
      <c r="AC82" s="11"/>
      <c r="AD82" s="11"/>
      <c r="AE82" s="11"/>
      <c r="AH82" s="36"/>
      <c r="AI82" s="36"/>
      <c r="AJ82" s="52"/>
      <c r="AK82" s="228"/>
      <c r="AL82" s="228"/>
      <c r="AM82" s="228"/>
      <c r="AN82" s="228"/>
      <c r="AO82" s="228"/>
    </row>
    <row r="83" spans="1:41" s="227" customFormat="1" x14ac:dyDescent="0.2">
      <c r="A83" s="33"/>
      <c r="B83" s="44"/>
      <c r="C83" s="230"/>
      <c r="E83" s="698" t="s">
        <v>661</v>
      </c>
      <c r="F83" s="699"/>
      <c r="G83" s="183">
        <f t="shared" ca="1" si="36"/>
        <v>0</v>
      </c>
      <c r="H83" s="185">
        <f t="shared" ca="1" si="37"/>
        <v>0</v>
      </c>
      <c r="N83" s="11"/>
      <c r="O83" s="11"/>
      <c r="P83" s="11"/>
      <c r="Q83" s="11"/>
      <c r="R83" s="11"/>
      <c r="S83" s="11"/>
      <c r="T83" s="11"/>
      <c r="U83" s="11"/>
      <c r="V83" s="11"/>
      <c r="W83" s="11"/>
      <c r="X83" s="11"/>
      <c r="Y83" s="11"/>
      <c r="Z83" s="11"/>
      <c r="AA83" s="11"/>
      <c r="AB83" s="11"/>
      <c r="AC83" s="11"/>
      <c r="AD83" s="11"/>
      <c r="AE83" s="11"/>
      <c r="AH83" s="36"/>
      <c r="AI83" s="36"/>
      <c r="AJ83" s="52"/>
      <c r="AK83" s="228"/>
      <c r="AL83" s="228"/>
      <c r="AM83" s="228"/>
      <c r="AN83" s="228"/>
      <c r="AO83" s="228"/>
    </row>
    <row r="84" spans="1:41" s="227" customFormat="1" x14ac:dyDescent="0.2">
      <c r="A84" s="33"/>
      <c r="B84" s="44"/>
      <c r="C84" s="230"/>
      <c r="E84" s="698" t="s">
        <v>662</v>
      </c>
      <c r="F84" s="699"/>
      <c r="G84" s="183">
        <f t="shared" ca="1" si="36"/>
        <v>0</v>
      </c>
      <c r="H84" s="185">
        <f t="shared" ca="1" si="37"/>
        <v>0</v>
      </c>
      <c r="N84" s="11"/>
      <c r="O84" s="11"/>
      <c r="P84" s="11"/>
      <c r="Q84" s="11"/>
      <c r="R84" s="11"/>
      <c r="S84" s="11"/>
      <c r="T84" s="11"/>
      <c r="U84" s="11"/>
      <c r="V84" s="11"/>
      <c r="W84" s="11"/>
      <c r="X84" s="11"/>
      <c r="Y84" s="11"/>
      <c r="Z84" s="11"/>
      <c r="AA84" s="11"/>
      <c r="AB84" s="11"/>
      <c r="AC84" s="11"/>
      <c r="AD84" s="11"/>
      <c r="AE84" s="11"/>
      <c r="AH84" s="36"/>
      <c r="AI84" s="36"/>
      <c r="AJ84" s="52"/>
      <c r="AK84" s="228"/>
      <c r="AL84" s="228"/>
      <c r="AM84" s="228"/>
      <c r="AN84" s="228"/>
      <c r="AO84" s="228"/>
    </row>
    <row r="85" spans="1:41" x14ac:dyDescent="0.2">
      <c r="A85" s="33"/>
      <c r="B85" s="44"/>
      <c r="C85" s="38"/>
      <c r="E85" s="697" t="s">
        <v>663</v>
      </c>
      <c r="F85" s="502"/>
      <c r="G85" s="183">
        <f t="shared" ca="1" si="36"/>
        <v>0</v>
      </c>
      <c r="H85" s="225">
        <f t="shared" ca="1" si="37"/>
        <v>0</v>
      </c>
      <c r="N85" s="11"/>
      <c r="O85" s="11"/>
      <c r="P85" s="11"/>
      <c r="Q85" s="11"/>
      <c r="R85" s="11"/>
      <c r="S85" s="11"/>
      <c r="T85" s="11"/>
      <c r="U85" s="11"/>
      <c r="V85" s="11"/>
      <c r="W85" s="11"/>
      <c r="X85" s="11"/>
      <c r="Y85" s="11"/>
      <c r="Z85" s="11"/>
      <c r="AA85" s="11"/>
      <c r="AB85" s="11"/>
      <c r="AC85" s="11"/>
      <c r="AD85" s="11"/>
      <c r="AE85" s="11"/>
      <c r="AH85" s="36"/>
      <c r="AI85" s="36"/>
      <c r="AJ85" s="52"/>
      <c r="AK85" s="28"/>
      <c r="AL85" s="28"/>
      <c r="AM85" s="28"/>
      <c r="AN85" s="28"/>
      <c r="AO85" s="28"/>
    </row>
    <row r="86" spans="1:41" ht="13.5" thickBot="1" x14ac:dyDescent="0.25">
      <c r="A86" s="33"/>
      <c r="B86" s="44"/>
      <c r="C86" s="38"/>
      <c r="E86" s="766" t="s">
        <v>664</v>
      </c>
      <c r="F86" s="767"/>
      <c r="G86" s="184">
        <f t="shared" ca="1" si="36"/>
        <v>0</v>
      </c>
      <c r="H86" s="234">
        <f t="shared" ca="1" si="37"/>
        <v>0</v>
      </c>
      <c r="N86" s="11"/>
      <c r="O86" s="11"/>
      <c r="P86" s="11"/>
      <c r="Q86" s="11"/>
      <c r="R86" s="11"/>
      <c r="S86" s="11"/>
      <c r="T86" s="11"/>
      <c r="U86" s="11"/>
      <c r="V86" s="11"/>
      <c r="W86" s="11"/>
      <c r="X86" s="11"/>
      <c r="Y86" s="11"/>
      <c r="Z86" s="11"/>
      <c r="AA86" s="11"/>
      <c r="AB86" s="11"/>
      <c r="AC86" s="11"/>
      <c r="AD86" s="11"/>
      <c r="AE86" s="11"/>
      <c r="AH86" s="36"/>
      <c r="AI86" s="36"/>
      <c r="AJ86" s="52"/>
      <c r="AK86" s="28"/>
      <c r="AL86" s="28"/>
      <c r="AM86" s="28"/>
      <c r="AN86" s="28"/>
      <c r="AO86" s="28"/>
    </row>
    <row r="87" spans="1:41" ht="14.25" thickTop="1" thickBot="1" x14ac:dyDescent="0.25">
      <c r="A87" s="33"/>
      <c r="B87" s="44"/>
      <c r="C87" s="38"/>
      <c r="E87" s="724" t="s">
        <v>110</v>
      </c>
      <c r="F87" s="725"/>
      <c r="G87" s="186">
        <f ca="1">SUM($G$70:$G$77,$G$79:$G$86)</f>
        <v>5.2683790415197219E-5</v>
      </c>
      <c r="H87" s="187">
        <f ca="1">SUM($H$70:$H$77,$H$79:$H$86)</f>
        <v>4.0140030792531216E-5</v>
      </c>
      <c r="N87" s="11"/>
      <c r="O87" s="11"/>
      <c r="P87" s="11"/>
      <c r="Q87" s="11"/>
      <c r="R87" s="11"/>
      <c r="S87" s="11"/>
      <c r="T87" s="11"/>
      <c r="U87" s="11"/>
      <c r="V87" s="11"/>
      <c r="W87" s="11"/>
      <c r="X87" s="11"/>
      <c r="Y87" s="11"/>
      <c r="Z87" s="11"/>
      <c r="AA87" s="11"/>
      <c r="AB87" s="11"/>
      <c r="AC87" s="11"/>
      <c r="AD87" s="11"/>
      <c r="AE87" s="11"/>
      <c r="AH87" s="36"/>
      <c r="AI87" s="36"/>
      <c r="AJ87" s="52"/>
      <c r="AK87" s="28"/>
      <c r="AL87" s="28"/>
      <c r="AM87" s="28"/>
      <c r="AN87" s="28"/>
      <c r="AO87" s="28"/>
    </row>
    <row r="88" spans="1:41" x14ac:dyDescent="0.2">
      <c r="A88" s="33"/>
      <c r="B88" s="44"/>
      <c r="C88" s="38"/>
      <c r="D88" s="38"/>
      <c r="F88" s="33"/>
      <c r="H88" s="33"/>
      <c r="K88" s="63"/>
      <c r="N88" s="11"/>
      <c r="O88" s="11"/>
      <c r="P88" s="11"/>
      <c r="Q88" s="11"/>
      <c r="R88" s="11"/>
      <c r="S88" s="11"/>
      <c r="T88" s="11"/>
      <c r="U88" s="11"/>
      <c r="V88" s="11"/>
      <c r="W88" s="11"/>
      <c r="X88" s="11"/>
      <c r="Y88" s="11"/>
      <c r="Z88" s="11"/>
      <c r="AA88" s="11"/>
      <c r="AB88" s="11"/>
      <c r="AC88" s="11"/>
      <c r="AD88" s="11"/>
      <c r="AE88" s="11"/>
      <c r="AH88" s="36"/>
      <c r="AI88" s="36"/>
      <c r="AJ88" s="52"/>
      <c r="AK88" s="28"/>
      <c r="AL88" s="28"/>
      <c r="AM88" s="28"/>
      <c r="AN88" s="28"/>
      <c r="AO88" s="28"/>
    </row>
    <row r="89" spans="1:41" x14ac:dyDescent="0.2">
      <c r="A89" s="43"/>
      <c r="B89" s="44"/>
      <c r="C89" s="74"/>
      <c r="D89" s="43"/>
      <c r="E89" s="43"/>
      <c r="F89" s="43"/>
      <c r="G89" s="25"/>
      <c r="H89" s="43"/>
      <c r="K89" s="63"/>
      <c r="N89" s="11"/>
      <c r="O89" s="11"/>
      <c r="P89" s="11"/>
      <c r="Q89" s="11"/>
      <c r="R89" s="11"/>
      <c r="S89" s="11"/>
      <c r="T89" s="11"/>
      <c r="U89" s="11"/>
      <c r="V89" s="11"/>
      <c r="W89" s="11"/>
      <c r="X89" s="11"/>
      <c r="Y89" s="11"/>
      <c r="Z89" s="11"/>
      <c r="AA89" s="11"/>
      <c r="AB89" s="11"/>
      <c r="AC89" s="11"/>
      <c r="AD89" s="11"/>
      <c r="AE89" s="11"/>
      <c r="AH89" s="80"/>
      <c r="AI89" s="80"/>
      <c r="AJ89" s="75"/>
      <c r="AK89" s="75"/>
      <c r="AL89" s="75"/>
      <c r="AM89" s="75"/>
      <c r="AN89" s="75"/>
      <c r="AO89" s="75"/>
    </row>
    <row r="90" spans="1:41" ht="13.5" thickBot="1" x14ac:dyDescent="0.25">
      <c r="B90" s="44"/>
      <c r="C90" s="39"/>
      <c r="D90" s="25"/>
      <c r="E90" s="25"/>
      <c r="K90" s="63"/>
      <c r="N90" s="11"/>
      <c r="O90" s="11"/>
      <c r="P90" s="11"/>
      <c r="Q90" s="11"/>
      <c r="R90" s="11"/>
      <c r="S90" s="11"/>
      <c r="T90" s="11"/>
      <c r="U90" s="11"/>
      <c r="V90" s="11"/>
      <c r="W90" s="11"/>
      <c r="X90" s="11"/>
      <c r="Y90" s="11"/>
      <c r="Z90" s="11"/>
      <c r="AA90" s="11"/>
      <c r="AB90" s="11"/>
      <c r="AC90" s="11"/>
      <c r="AD90" s="11"/>
      <c r="AE90" s="11"/>
      <c r="AH90" s="32"/>
      <c r="AI90" s="75"/>
      <c r="AJ90" s="75"/>
      <c r="AK90" s="75"/>
      <c r="AL90" s="75"/>
      <c r="AM90" s="75"/>
      <c r="AN90" s="75"/>
      <c r="AO90" s="75"/>
    </row>
    <row r="91" spans="1:41" ht="13.5" thickTop="1" x14ac:dyDescent="0.2">
      <c r="A91" s="709" t="s">
        <v>534</v>
      </c>
      <c r="B91" s="710"/>
      <c r="C91" s="710"/>
      <c r="D91" s="710"/>
      <c r="E91" s="710"/>
      <c r="F91" s="710"/>
      <c r="G91" s="710"/>
      <c r="H91" s="710"/>
      <c r="I91" s="710"/>
      <c r="J91" s="710"/>
      <c r="K91" s="710"/>
      <c r="L91" s="710"/>
      <c r="N91" s="11"/>
      <c r="O91" s="11"/>
      <c r="P91" s="11"/>
      <c r="Q91" s="11"/>
      <c r="R91" s="11"/>
      <c r="S91" s="11"/>
      <c r="T91" s="11"/>
      <c r="U91" s="11"/>
      <c r="V91" s="11"/>
      <c r="W91" s="11"/>
      <c r="X91" s="11"/>
      <c r="Y91" s="11"/>
      <c r="Z91" s="11"/>
      <c r="AA91" s="11"/>
      <c r="AB91" s="11"/>
      <c r="AC91" s="11"/>
      <c r="AD91" s="11"/>
      <c r="AE91" s="11"/>
      <c r="AH91" s="87"/>
      <c r="AI91" s="80"/>
      <c r="AJ91" s="75"/>
      <c r="AK91" s="75"/>
      <c r="AL91" s="75"/>
      <c r="AM91" s="75"/>
      <c r="AN91" s="75"/>
      <c r="AO91" s="75"/>
    </row>
    <row r="92" spans="1:41" ht="13.5" thickBot="1" x14ac:dyDescent="0.25">
      <c r="A92" s="711"/>
      <c r="B92" s="711"/>
      <c r="C92" s="711"/>
      <c r="D92" s="711"/>
      <c r="E92" s="711"/>
      <c r="F92" s="711"/>
      <c r="G92" s="711"/>
      <c r="H92" s="711"/>
      <c r="I92" s="711"/>
      <c r="J92" s="711"/>
      <c r="K92" s="711"/>
      <c r="L92" s="711"/>
      <c r="N92" s="11"/>
      <c r="O92" s="11"/>
      <c r="P92" s="11"/>
      <c r="Q92" s="11"/>
      <c r="R92" s="11"/>
      <c r="S92" s="11"/>
      <c r="T92" s="11"/>
      <c r="U92" s="11"/>
      <c r="V92" s="11"/>
      <c r="W92" s="11"/>
      <c r="X92" s="11"/>
      <c r="Y92" s="11"/>
      <c r="Z92" s="11"/>
      <c r="AA92" s="11"/>
      <c r="AB92" s="11"/>
      <c r="AC92" s="11"/>
      <c r="AD92" s="11"/>
      <c r="AE92" s="11"/>
      <c r="AH92" s="75"/>
      <c r="AI92" s="75"/>
      <c r="AJ92" s="75"/>
      <c r="AK92" s="75"/>
      <c r="AL92" s="75"/>
      <c r="AM92" s="75"/>
      <c r="AN92" s="75"/>
      <c r="AO92" s="75"/>
    </row>
    <row r="93" spans="1:41" x14ac:dyDescent="0.2">
      <c r="A93" s="728" t="s">
        <v>16</v>
      </c>
      <c r="B93" s="721"/>
      <c r="C93" s="720" t="s">
        <v>17</v>
      </c>
      <c r="D93" s="721"/>
      <c r="E93" s="720" t="s">
        <v>18</v>
      </c>
      <c r="F93" s="721"/>
      <c r="G93" s="720" t="s">
        <v>19</v>
      </c>
      <c r="H93" s="721"/>
      <c r="I93" s="720" t="s">
        <v>20</v>
      </c>
      <c r="J93" s="721"/>
      <c r="K93" s="704" t="s">
        <v>21</v>
      </c>
      <c r="L93" s="705"/>
      <c r="M93" s="25"/>
      <c r="N93" s="25"/>
      <c r="O93" s="25"/>
      <c r="P93" s="25"/>
      <c r="Q93" s="25"/>
      <c r="R93" s="25"/>
      <c r="S93" s="25"/>
      <c r="T93" s="25"/>
      <c r="U93" s="25"/>
      <c r="V93" s="25"/>
      <c r="W93" s="45"/>
      <c r="X93" s="45"/>
      <c r="Y93" s="45"/>
      <c r="Z93" s="45"/>
      <c r="AA93" s="45"/>
      <c r="AB93" s="45"/>
      <c r="AC93" s="45"/>
      <c r="AD93" s="45"/>
      <c r="AE93" s="45"/>
      <c r="AH93" s="75"/>
      <c r="AI93" s="75"/>
      <c r="AJ93" s="75"/>
      <c r="AK93" s="75"/>
      <c r="AL93" s="75"/>
      <c r="AM93" s="75"/>
      <c r="AN93" s="75"/>
      <c r="AO93" s="75"/>
    </row>
    <row r="94" spans="1:41" ht="14.25" x14ac:dyDescent="0.25">
      <c r="A94" s="726" t="s">
        <v>43</v>
      </c>
      <c r="B94" s="727"/>
      <c r="C94" s="718" t="s">
        <v>130</v>
      </c>
      <c r="D94" s="719"/>
      <c r="E94" s="718" t="s">
        <v>535</v>
      </c>
      <c r="F94" s="719"/>
      <c r="G94" s="718" t="s">
        <v>538</v>
      </c>
      <c r="H94" s="719"/>
      <c r="I94" s="706" t="s">
        <v>539</v>
      </c>
      <c r="J94" s="707"/>
      <c r="K94" s="706" t="s">
        <v>131</v>
      </c>
      <c r="L94" s="708"/>
      <c r="N94" s="11"/>
      <c r="O94" s="11"/>
      <c r="P94" s="11"/>
      <c r="Q94" s="11"/>
      <c r="R94" s="11"/>
      <c r="S94" s="11"/>
      <c r="T94" s="11"/>
      <c r="U94" s="11"/>
      <c r="V94" s="11"/>
      <c r="W94" s="11"/>
      <c r="X94" s="11"/>
      <c r="Y94" s="11"/>
      <c r="Z94" s="11"/>
      <c r="AA94" s="11"/>
      <c r="AB94" s="11"/>
      <c r="AC94" s="11"/>
      <c r="AD94" s="11"/>
      <c r="AE94" s="11"/>
      <c r="AH94" s="75"/>
      <c r="AI94" s="75"/>
      <c r="AJ94" s="75"/>
      <c r="AK94" s="75"/>
      <c r="AL94" s="75"/>
      <c r="AM94" s="75"/>
      <c r="AN94" s="75"/>
      <c r="AO94" s="75"/>
    </row>
    <row r="95" spans="1:41" ht="15.75" x14ac:dyDescent="0.2">
      <c r="A95" s="714" t="s">
        <v>35</v>
      </c>
      <c r="B95" s="715"/>
      <c r="C95" s="712" t="s">
        <v>132</v>
      </c>
      <c r="D95" s="732"/>
      <c r="E95" s="712" t="s">
        <v>536</v>
      </c>
      <c r="F95" s="732"/>
      <c r="G95" s="712" t="s">
        <v>537</v>
      </c>
      <c r="H95" s="732"/>
      <c r="I95" s="712" t="s">
        <v>543</v>
      </c>
      <c r="J95" s="713"/>
      <c r="K95" s="702" t="s">
        <v>542</v>
      </c>
      <c r="L95" s="703"/>
      <c r="N95" s="65"/>
      <c r="O95" s="11"/>
      <c r="P95" s="11"/>
      <c r="Q95" s="11"/>
      <c r="R95" s="11"/>
      <c r="S95" s="11"/>
      <c r="T95" s="11"/>
      <c r="U95" s="11"/>
      <c r="V95" s="11"/>
      <c r="W95" s="65"/>
      <c r="X95" s="11"/>
      <c r="Y95" s="11"/>
      <c r="Z95" s="11"/>
      <c r="AA95" s="11"/>
      <c r="AB95" s="11"/>
      <c r="AC95" s="11"/>
      <c r="AD95" s="11"/>
      <c r="AE95" s="11"/>
      <c r="AH95" s="43"/>
      <c r="AI95" s="37"/>
      <c r="AJ95" s="37"/>
      <c r="AK95" s="37"/>
      <c r="AL95" s="37"/>
      <c r="AM95" s="37"/>
      <c r="AN95" s="69"/>
    </row>
    <row r="96" spans="1:41" x14ac:dyDescent="0.2">
      <c r="A96" s="716"/>
      <c r="B96" s="717"/>
      <c r="C96" s="321">
        <f ca="1">+D61</f>
        <v>2.5087519245332009E-3</v>
      </c>
      <c r="D96" s="733"/>
      <c r="E96" s="722">
        <f ca="1">+G87</f>
        <v>5.2683790415197219E-5</v>
      </c>
      <c r="F96" s="735"/>
      <c r="G96" s="722">
        <f ca="1">+H87</f>
        <v>4.0140030792531216E-5</v>
      </c>
      <c r="H96" s="723"/>
      <c r="I96" s="318">
        <f ca="1">+J61</f>
        <v>2.5016147704654788E-3</v>
      </c>
      <c r="J96" s="701"/>
      <c r="K96" s="318">
        <f ca="1">+E96+G96+I96</f>
        <v>2.5944385916732071E-3</v>
      </c>
      <c r="L96" s="701"/>
      <c r="N96" s="65"/>
      <c r="O96" s="11"/>
      <c r="P96" s="11"/>
      <c r="Q96" s="11"/>
      <c r="R96" s="11"/>
      <c r="S96" s="11"/>
      <c r="T96" s="11"/>
      <c r="U96" s="11"/>
      <c r="V96" s="11"/>
      <c r="W96" s="65"/>
      <c r="X96" s="11"/>
      <c r="Y96" s="11"/>
      <c r="Z96" s="11"/>
      <c r="AA96" s="11"/>
      <c r="AB96" s="11"/>
      <c r="AC96" s="11"/>
      <c r="AD96" s="11"/>
      <c r="AE96" s="11"/>
      <c r="AH96" s="43"/>
      <c r="AI96" s="37"/>
      <c r="AJ96" s="37"/>
      <c r="AK96" s="37"/>
      <c r="AL96" s="37"/>
      <c r="AM96" s="37"/>
      <c r="AN96" s="69"/>
    </row>
    <row r="97" spans="1:49" ht="15.75" x14ac:dyDescent="0.2">
      <c r="A97" s="714" t="s">
        <v>133</v>
      </c>
      <c r="B97" s="715"/>
      <c r="C97" s="712" t="s">
        <v>135</v>
      </c>
      <c r="D97" s="732"/>
      <c r="E97" s="712" t="s">
        <v>536</v>
      </c>
      <c r="F97" s="732"/>
      <c r="G97" s="712" t="s">
        <v>537</v>
      </c>
      <c r="H97" s="732"/>
      <c r="I97" s="712" t="s">
        <v>541</v>
      </c>
      <c r="J97" s="713"/>
      <c r="K97" s="702" t="s">
        <v>542</v>
      </c>
      <c r="L97" s="703"/>
      <c r="N97" s="65"/>
      <c r="O97" s="11"/>
      <c r="P97" s="11"/>
      <c r="Q97" s="11"/>
      <c r="R97" s="11"/>
      <c r="S97" s="11"/>
      <c r="T97" s="11"/>
      <c r="U97" s="11"/>
      <c r="V97" s="11"/>
      <c r="W97" s="65"/>
      <c r="X97" s="11"/>
      <c r="Y97" s="11"/>
      <c r="Z97" s="11"/>
      <c r="AA97" s="11"/>
      <c r="AB97" s="11"/>
      <c r="AC97" s="11"/>
      <c r="AD97" s="11"/>
      <c r="AE97" s="11"/>
      <c r="AH97" s="43"/>
      <c r="AI97" s="37"/>
      <c r="AJ97" s="37"/>
      <c r="AK97" s="37"/>
      <c r="AL97" s="37"/>
      <c r="AM97" s="37"/>
      <c r="AN97" s="69"/>
    </row>
    <row r="98" spans="1:49" x14ac:dyDescent="0.2">
      <c r="A98" s="716"/>
      <c r="B98" s="717"/>
      <c r="C98" s="321">
        <f ca="1">+E61</f>
        <v>1.4504657392100495E-3</v>
      </c>
      <c r="D98" s="733"/>
      <c r="E98" s="706">
        <f ca="1">+G87</f>
        <v>5.2683790415197219E-5</v>
      </c>
      <c r="F98" s="708"/>
      <c r="G98" s="706">
        <f ca="1">+H87</f>
        <v>4.0140030792531216E-5</v>
      </c>
      <c r="H98" s="707"/>
      <c r="I98" s="318">
        <f ca="1">+$I$96*C98/$C$96</f>
        <v>1.44633930592286E-3</v>
      </c>
      <c r="J98" s="701"/>
      <c r="K98" s="318">
        <f ca="1">+E98+G98+I98</f>
        <v>1.5391631271305885E-3</v>
      </c>
      <c r="L98" s="701"/>
      <c r="N98" s="11"/>
      <c r="O98" s="11"/>
      <c r="P98" s="11"/>
      <c r="Q98" s="11"/>
      <c r="R98" s="11"/>
      <c r="S98" s="11"/>
      <c r="T98" s="11"/>
      <c r="U98" s="11"/>
      <c r="V98" s="11"/>
      <c r="W98" s="11"/>
      <c r="X98" s="11"/>
      <c r="Y98" s="11"/>
      <c r="Z98" s="11"/>
      <c r="AA98" s="11"/>
      <c r="AB98" s="11"/>
      <c r="AC98" s="11"/>
      <c r="AD98" s="11"/>
      <c r="AE98" s="11"/>
      <c r="AH98" s="37"/>
      <c r="AI98" s="37"/>
      <c r="AJ98" s="37"/>
      <c r="AK98" s="37"/>
      <c r="AL98" s="37"/>
      <c r="AM98" s="37"/>
      <c r="AN98" s="69"/>
      <c r="AO98" s="48"/>
      <c r="AP98" s="48"/>
      <c r="AQ98" s="48"/>
      <c r="AR98" s="48"/>
      <c r="AS98" s="48"/>
      <c r="AT98" s="48"/>
      <c r="AU98" s="48"/>
      <c r="AV98" s="48"/>
      <c r="AW98" s="48"/>
    </row>
    <row r="99" spans="1:49" ht="15.75" x14ac:dyDescent="0.2">
      <c r="A99" s="714" t="s">
        <v>134</v>
      </c>
      <c r="B99" s="729"/>
      <c r="C99" s="712" t="s">
        <v>136</v>
      </c>
      <c r="D99" s="732"/>
      <c r="E99" s="741" t="s">
        <v>14</v>
      </c>
      <c r="F99" s="732"/>
      <c r="G99" s="741" t="s">
        <v>14</v>
      </c>
      <c r="H99" s="732"/>
      <c r="I99" s="712" t="s">
        <v>540</v>
      </c>
      <c r="J99" s="713"/>
      <c r="K99" s="702" t="s">
        <v>542</v>
      </c>
      <c r="L99" s="703"/>
      <c r="N99" s="11"/>
      <c r="O99" s="11"/>
      <c r="P99" s="11"/>
      <c r="Q99" s="11"/>
      <c r="R99" s="11"/>
      <c r="S99" s="11"/>
      <c r="T99" s="11"/>
      <c r="U99" s="11"/>
      <c r="V99" s="11"/>
      <c r="W99" s="11"/>
      <c r="X99" s="11"/>
      <c r="Y99" s="11"/>
      <c r="Z99" s="11"/>
      <c r="AA99" s="11"/>
      <c r="AB99" s="11"/>
      <c r="AC99" s="11"/>
      <c r="AD99" s="11"/>
      <c r="AE99" s="11"/>
      <c r="AH99" s="35"/>
      <c r="AK99" s="45"/>
      <c r="AO99" s="25"/>
      <c r="AT99" s="25"/>
      <c r="AU99" s="25"/>
      <c r="AV99" s="25"/>
      <c r="AW99" s="25"/>
    </row>
    <row r="100" spans="1:49" ht="13.5" thickBot="1" x14ac:dyDescent="0.25">
      <c r="A100" s="730"/>
      <c r="B100" s="731"/>
      <c r="C100" s="317">
        <f ca="1">+F61</f>
        <v>1.0582861853231517E-3</v>
      </c>
      <c r="D100" s="734"/>
      <c r="E100" s="739">
        <v>0</v>
      </c>
      <c r="F100" s="740"/>
      <c r="G100" s="739">
        <v>0</v>
      </c>
      <c r="H100" s="740"/>
      <c r="I100" s="312">
        <f ca="1">+$I$96*C100/$C$96</f>
        <v>1.055275464542619E-3</v>
      </c>
      <c r="J100" s="313"/>
      <c r="K100" s="312">
        <f ca="1">+E100+G100+I100</f>
        <v>1.055275464542619E-3</v>
      </c>
      <c r="L100" s="700"/>
      <c r="N100" s="11"/>
      <c r="O100" s="11"/>
      <c r="P100" s="11"/>
      <c r="Q100" s="11"/>
      <c r="R100" s="11"/>
      <c r="S100" s="11"/>
      <c r="T100" s="11"/>
      <c r="U100" s="11"/>
      <c r="V100" s="11"/>
      <c r="W100" s="11"/>
      <c r="X100" s="11"/>
      <c r="Y100" s="11"/>
      <c r="Z100" s="11"/>
      <c r="AA100" s="11"/>
      <c r="AB100" s="11"/>
      <c r="AC100" s="11"/>
      <c r="AD100" s="11"/>
      <c r="AE100" s="11"/>
      <c r="AH100" s="47"/>
      <c r="AI100" s="44"/>
      <c r="AJ100" s="25"/>
      <c r="AK100" s="46"/>
      <c r="AL100" s="45"/>
      <c r="AM100" s="48"/>
      <c r="AO100" s="45"/>
      <c r="AT100" s="45"/>
      <c r="AU100" s="45"/>
      <c r="AV100" s="45"/>
    </row>
    <row r="101" spans="1:49" x14ac:dyDescent="0.2">
      <c r="A101" s="33"/>
      <c r="C101" s="33"/>
      <c r="D101" s="33"/>
      <c r="E101" s="33"/>
      <c r="F101" s="38"/>
      <c r="G101" s="33"/>
      <c r="H101" s="33"/>
      <c r="I101" s="38"/>
      <c r="K101" s="63"/>
      <c r="N101" s="11"/>
      <c r="O101" s="11"/>
      <c r="P101" s="11"/>
      <c r="Q101" s="11"/>
      <c r="R101" s="11"/>
      <c r="S101" s="11"/>
      <c r="T101" s="11"/>
      <c r="U101" s="11"/>
      <c r="V101" s="11"/>
      <c r="W101" s="11"/>
      <c r="X101" s="11"/>
      <c r="Y101" s="11"/>
      <c r="Z101" s="11"/>
      <c r="AA101" s="11"/>
      <c r="AB101" s="11"/>
      <c r="AC101" s="11"/>
      <c r="AD101" s="11"/>
      <c r="AE101" s="11"/>
      <c r="AH101" s="39"/>
      <c r="AI101" s="25"/>
      <c r="AK101" s="49"/>
      <c r="AL101" s="25"/>
      <c r="AM101" s="49"/>
      <c r="AN101" s="49"/>
      <c r="AT101" s="45"/>
      <c r="AU101" s="45"/>
      <c r="AV101" s="45"/>
    </row>
    <row r="102" spans="1:49" x14ac:dyDescent="0.2">
      <c r="A102" s="43"/>
      <c r="B102" s="43"/>
      <c r="C102" s="43"/>
      <c r="D102" s="43"/>
      <c r="F102" s="43"/>
      <c r="G102" s="43"/>
      <c r="H102" s="43"/>
      <c r="I102" s="43"/>
      <c r="K102" s="63"/>
      <c r="N102" s="11"/>
      <c r="O102" s="11"/>
      <c r="P102" s="11"/>
      <c r="Q102" s="11"/>
      <c r="R102" s="11"/>
      <c r="S102" s="11"/>
      <c r="T102" s="11"/>
      <c r="U102" s="11"/>
      <c r="V102" s="11"/>
      <c r="W102" s="11"/>
      <c r="X102" s="11"/>
      <c r="Y102" s="11"/>
      <c r="Z102" s="11"/>
      <c r="AA102" s="11"/>
      <c r="AB102" s="11"/>
      <c r="AC102" s="11"/>
      <c r="AD102" s="11"/>
      <c r="AE102" s="11"/>
      <c r="AH102" s="39"/>
      <c r="AI102" s="25"/>
      <c r="AK102" s="49"/>
      <c r="AL102" s="25"/>
      <c r="AM102" s="49"/>
      <c r="AN102" s="49"/>
      <c r="AT102" s="45"/>
      <c r="AU102" s="45"/>
      <c r="AV102" s="46"/>
    </row>
    <row r="103" spans="1:49" x14ac:dyDescent="0.2">
      <c r="A103" s="43"/>
      <c r="AH103" s="39"/>
      <c r="AI103" s="25"/>
      <c r="AK103" s="34"/>
      <c r="AL103" s="25"/>
      <c r="AM103" s="49"/>
      <c r="AN103" s="49"/>
      <c r="AT103" s="25"/>
      <c r="AU103" s="32"/>
      <c r="AV103" s="30"/>
    </row>
    <row r="104" spans="1:49" x14ac:dyDescent="0.2">
      <c r="A104" s="25"/>
    </row>
    <row r="105" spans="1:49" x14ac:dyDescent="0.2">
      <c r="A105" s="25"/>
      <c r="D105" s="77"/>
      <c r="E105" s="54"/>
      <c r="F105" s="53"/>
      <c r="G105" s="77"/>
      <c r="H105" s="54"/>
      <c r="I105" s="53"/>
    </row>
    <row r="106" spans="1:49" x14ac:dyDescent="0.2">
      <c r="A106" s="25"/>
      <c r="D106" s="25"/>
      <c r="E106" s="25"/>
      <c r="F106" s="25"/>
      <c r="G106" s="25"/>
      <c r="H106" s="25"/>
      <c r="I106" s="25"/>
    </row>
    <row r="107" spans="1:49" x14ac:dyDescent="0.2">
      <c r="D107" s="34"/>
      <c r="E107" s="34"/>
      <c r="F107" s="34"/>
      <c r="G107" s="34"/>
      <c r="H107" s="34"/>
      <c r="I107" s="34"/>
    </row>
    <row r="108" spans="1:49" x14ac:dyDescent="0.2">
      <c r="A108" s="28"/>
      <c r="D108" s="52"/>
      <c r="E108" s="28"/>
      <c r="F108" s="28"/>
      <c r="G108" s="38"/>
      <c r="I108" s="28"/>
    </row>
    <row r="109" spans="1:49" x14ac:dyDescent="0.2">
      <c r="A109" s="58"/>
      <c r="C109" s="34"/>
      <c r="D109" s="34"/>
      <c r="E109" s="34"/>
      <c r="F109" s="34"/>
      <c r="G109" s="34"/>
      <c r="H109" s="34"/>
      <c r="I109" s="34"/>
    </row>
    <row r="110" spans="1:49" x14ac:dyDescent="0.2">
      <c r="A110" s="58"/>
      <c r="C110" s="34"/>
      <c r="D110" s="34"/>
      <c r="E110" s="34"/>
      <c r="F110" s="34"/>
      <c r="G110" s="34"/>
      <c r="H110" s="34"/>
      <c r="I110" s="34"/>
    </row>
    <row r="111" spans="1:49" x14ac:dyDescent="0.2">
      <c r="A111" s="47"/>
      <c r="C111" s="34"/>
      <c r="D111" s="34"/>
      <c r="E111" s="34"/>
      <c r="F111" s="34"/>
      <c r="G111" s="34"/>
      <c r="H111" s="34"/>
      <c r="I111" s="34"/>
    </row>
    <row r="112" spans="1:49" x14ac:dyDescent="0.2">
      <c r="A112" s="58"/>
      <c r="C112" s="34"/>
      <c r="D112" s="34"/>
      <c r="E112" s="34"/>
      <c r="F112" s="34"/>
      <c r="G112" s="34"/>
      <c r="H112" s="34"/>
      <c r="I112" s="34"/>
    </row>
    <row r="113" spans="1:9" x14ac:dyDescent="0.2">
      <c r="A113" s="58"/>
      <c r="C113" s="34"/>
      <c r="D113" s="34"/>
      <c r="E113" s="34"/>
      <c r="F113" s="34"/>
      <c r="G113" s="34"/>
      <c r="H113" s="34"/>
      <c r="I113" s="34"/>
    </row>
    <row r="114" spans="1:9" x14ac:dyDescent="0.2">
      <c r="A114" s="58"/>
      <c r="C114" s="34"/>
      <c r="D114" s="34"/>
      <c r="E114" s="34"/>
      <c r="F114" s="34"/>
      <c r="G114" s="34"/>
      <c r="H114" s="34"/>
      <c r="I114" s="34"/>
    </row>
    <row r="115" spans="1:9" x14ac:dyDescent="0.2">
      <c r="A115" s="73"/>
      <c r="B115" s="44"/>
      <c r="C115" s="44"/>
      <c r="D115" s="44"/>
      <c r="E115" s="44"/>
      <c r="F115" s="44"/>
      <c r="G115" s="44"/>
      <c r="H115" s="44"/>
      <c r="I115" s="44"/>
    </row>
    <row r="116" spans="1:9" x14ac:dyDescent="0.2">
      <c r="C116" s="34"/>
      <c r="D116" s="34"/>
      <c r="E116" s="34"/>
      <c r="F116" s="34"/>
      <c r="G116" s="25"/>
      <c r="H116" s="34"/>
      <c r="I116" s="34"/>
    </row>
    <row r="117" spans="1:9" x14ac:dyDescent="0.2">
      <c r="A117" s="45"/>
      <c r="B117" s="25"/>
      <c r="C117" s="25"/>
      <c r="D117" s="25"/>
      <c r="E117" s="25"/>
      <c r="F117" s="25"/>
      <c r="G117" s="25"/>
    </row>
    <row r="119" spans="1:9" x14ac:dyDescent="0.2">
      <c r="A119" s="35"/>
      <c r="B119" s="35"/>
      <c r="C119" s="35"/>
      <c r="D119" s="35"/>
      <c r="E119" s="35"/>
      <c r="F119" s="35"/>
      <c r="G119" s="35"/>
      <c r="H119" s="35"/>
      <c r="I119" s="35"/>
    </row>
    <row r="120" spans="1:9" x14ac:dyDescent="0.2">
      <c r="A120" s="33"/>
      <c r="B120" s="33"/>
      <c r="C120" s="33"/>
      <c r="E120" s="38"/>
      <c r="F120" s="25"/>
      <c r="G120" s="25"/>
      <c r="H120" s="25"/>
      <c r="I120" s="38"/>
    </row>
    <row r="121" spans="1:9" x14ac:dyDescent="0.2">
      <c r="A121" s="43"/>
      <c r="B121" s="43"/>
      <c r="C121" s="43"/>
      <c r="D121" s="43"/>
      <c r="E121" s="45"/>
      <c r="F121" s="45"/>
      <c r="G121" s="45"/>
      <c r="H121" s="45"/>
      <c r="I121" s="45"/>
    </row>
    <row r="122" spans="1:9" x14ac:dyDescent="0.2">
      <c r="A122" s="69"/>
      <c r="B122" s="69"/>
      <c r="C122" s="69"/>
      <c r="D122" s="69"/>
      <c r="E122" s="38"/>
      <c r="I122" s="38"/>
    </row>
    <row r="123" spans="1:9" x14ac:dyDescent="0.2">
      <c r="A123" s="44"/>
      <c r="B123" s="44"/>
      <c r="C123" s="44"/>
      <c r="E123" s="34"/>
      <c r="F123" s="25"/>
      <c r="G123" s="25"/>
      <c r="H123" s="25"/>
      <c r="I123" s="11"/>
    </row>
    <row r="124" spans="1:9" x14ac:dyDescent="0.2">
      <c r="A124" s="44"/>
      <c r="B124" s="44"/>
      <c r="C124" s="44"/>
      <c r="E124" s="34"/>
      <c r="F124" s="25"/>
      <c r="G124" s="25"/>
      <c r="H124" s="25"/>
      <c r="I124" s="11"/>
    </row>
    <row r="125" spans="1:9" x14ac:dyDescent="0.2">
      <c r="A125" s="47"/>
      <c r="B125" s="44"/>
      <c r="C125" s="44"/>
      <c r="E125" s="34"/>
      <c r="F125" s="25"/>
      <c r="G125" s="25"/>
      <c r="H125" s="25"/>
      <c r="I125" s="11"/>
    </row>
    <row r="126" spans="1:9" x14ac:dyDescent="0.2">
      <c r="A126" s="44"/>
      <c r="B126" s="44"/>
      <c r="C126" s="44"/>
      <c r="E126" s="34"/>
      <c r="F126" s="25"/>
      <c r="G126" s="25"/>
      <c r="H126" s="25"/>
      <c r="I126" s="11"/>
    </row>
    <row r="127" spans="1:9" x14ac:dyDescent="0.2">
      <c r="A127" s="73"/>
      <c r="B127" s="44"/>
      <c r="C127" s="44"/>
      <c r="D127" s="44"/>
      <c r="E127" s="44"/>
      <c r="F127" s="44"/>
      <c r="G127" s="44"/>
      <c r="H127" s="44"/>
      <c r="I127" s="44"/>
    </row>
    <row r="132" spans="1:9" x14ac:dyDescent="0.2">
      <c r="A132" s="33"/>
      <c r="B132" s="33"/>
      <c r="C132" s="33"/>
      <c r="D132" s="33"/>
      <c r="E132" s="33"/>
      <c r="F132" s="33"/>
      <c r="G132" s="33"/>
      <c r="H132" s="33"/>
      <c r="I132" s="33"/>
    </row>
    <row r="133" spans="1:9" x14ac:dyDescent="0.2">
      <c r="A133" s="42"/>
      <c r="B133" s="42"/>
      <c r="C133" s="42"/>
      <c r="D133" s="43"/>
      <c r="E133" s="43"/>
      <c r="F133" s="43"/>
      <c r="G133" s="43"/>
      <c r="I133" s="43"/>
    </row>
    <row r="134" spans="1:9" x14ac:dyDescent="0.2">
      <c r="A134" s="42"/>
      <c r="B134" s="42"/>
      <c r="C134" s="42"/>
      <c r="D134" s="33"/>
      <c r="G134" s="33"/>
      <c r="H134" s="33"/>
      <c r="I134" s="33"/>
    </row>
    <row r="135" spans="1:9" x14ac:dyDescent="0.2">
      <c r="A135" s="44"/>
      <c r="B135" s="44"/>
      <c r="C135" s="44"/>
      <c r="D135" s="34"/>
      <c r="E135" s="25"/>
      <c r="F135" s="25"/>
      <c r="G135" s="34"/>
      <c r="H135" s="25"/>
      <c r="I135" s="25"/>
    </row>
    <row r="136" spans="1:9" x14ac:dyDescent="0.2">
      <c r="A136" s="44"/>
      <c r="B136" s="44"/>
      <c r="C136" s="44"/>
      <c r="D136" s="34"/>
      <c r="E136" s="25"/>
      <c r="F136" s="25"/>
      <c r="G136" s="34"/>
      <c r="H136" s="25"/>
      <c r="I136" s="25"/>
    </row>
    <row r="137" spans="1:9" x14ac:dyDescent="0.2">
      <c r="A137" s="44"/>
      <c r="B137" s="44"/>
      <c r="C137" s="44"/>
      <c r="D137" s="34"/>
      <c r="E137" s="25"/>
      <c r="F137" s="25"/>
      <c r="G137" s="34"/>
      <c r="H137" s="25"/>
      <c r="I137" s="25"/>
    </row>
  </sheetData>
  <mergeCells count="131">
    <mergeCell ref="E85:F85"/>
    <mergeCell ref="E86:F86"/>
    <mergeCell ref="B50:C50"/>
    <mergeCell ref="B52:C52"/>
    <mergeCell ref="E67:F67"/>
    <mergeCell ref="E68:F68"/>
    <mergeCell ref="E69:H69"/>
    <mergeCell ref="B44:C44"/>
    <mergeCell ref="B45:C45"/>
    <mergeCell ref="E70:F70"/>
    <mergeCell ref="E71:F71"/>
    <mergeCell ref="E84:F84"/>
    <mergeCell ref="B57:C57"/>
    <mergeCell ref="B58:C58"/>
    <mergeCell ref="E72:F72"/>
    <mergeCell ref="E73:F73"/>
    <mergeCell ref="E74:F74"/>
    <mergeCell ref="E75:F75"/>
    <mergeCell ref="E81:F81"/>
    <mergeCell ref="E82:F82"/>
    <mergeCell ref="E83:F83"/>
    <mergeCell ref="B60:C60"/>
    <mergeCell ref="E76:F76"/>
    <mergeCell ref="E77:F77"/>
    <mergeCell ref="G100:H100"/>
    <mergeCell ref="G97:H97"/>
    <mergeCell ref="G99:H99"/>
    <mergeCell ref="G95:H95"/>
    <mergeCell ref="I100:J100"/>
    <mergeCell ref="B6:C11"/>
    <mergeCell ref="B53:C53"/>
    <mergeCell ref="B54:C54"/>
    <mergeCell ref="B59:C59"/>
    <mergeCell ref="B61:C61"/>
    <mergeCell ref="D6:F8"/>
    <mergeCell ref="D9:D11"/>
    <mergeCell ref="B41:J41"/>
    <mergeCell ref="B43:C43"/>
    <mergeCell ref="H6:H11"/>
    <mergeCell ref="B24:C24"/>
    <mergeCell ref="B25:C25"/>
    <mergeCell ref="B30:C30"/>
    <mergeCell ref="B16:C16"/>
    <mergeCell ref="B17:C17"/>
    <mergeCell ref="B42:J42"/>
    <mergeCell ref="B51:J51"/>
    <mergeCell ref="E65:H66"/>
    <mergeCell ref="B40:C40"/>
    <mergeCell ref="B3:J4"/>
    <mergeCell ref="B5:C5"/>
    <mergeCell ref="E98:F98"/>
    <mergeCell ref="E100:F100"/>
    <mergeCell ref="E97:F97"/>
    <mergeCell ref="E99:F99"/>
    <mergeCell ref="J9:J11"/>
    <mergeCell ref="B12:J12"/>
    <mergeCell ref="B14:C14"/>
    <mergeCell ref="B15:C15"/>
    <mergeCell ref="B32:C32"/>
    <mergeCell ref="B33:C33"/>
    <mergeCell ref="B34:C34"/>
    <mergeCell ref="B39:C39"/>
    <mergeCell ref="I6:I8"/>
    <mergeCell ref="J6:J8"/>
    <mergeCell ref="E9:E11"/>
    <mergeCell ref="F9:F11"/>
    <mergeCell ref="G6:G11"/>
    <mergeCell ref="I9:I11"/>
    <mergeCell ref="B13:J13"/>
    <mergeCell ref="B31:J31"/>
    <mergeCell ref="B22:J22"/>
    <mergeCell ref="B23:C23"/>
    <mergeCell ref="E87:F87"/>
    <mergeCell ref="A94:B94"/>
    <mergeCell ref="A93:B93"/>
    <mergeCell ref="E94:F94"/>
    <mergeCell ref="E93:F93"/>
    <mergeCell ref="A97:B98"/>
    <mergeCell ref="A99:B100"/>
    <mergeCell ref="C93:D93"/>
    <mergeCell ref="C94:D94"/>
    <mergeCell ref="C95:D95"/>
    <mergeCell ref="C97:D97"/>
    <mergeCell ref="C99:D99"/>
    <mergeCell ref="C96:D96"/>
    <mergeCell ref="C98:D98"/>
    <mergeCell ref="C100:D100"/>
    <mergeCell ref="E95:F95"/>
    <mergeCell ref="E96:F96"/>
    <mergeCell ref="B36:C36"/>
    <mergeCell ref="B37:C37"/>
    <mergeCell ref="B38:C38"/>
    <mergeCell ref="B46:C46"/>
    <mergeCell ref="B47:C47"/>
    <mergeCell ref="B48:C48"/>
    <mergeCell ref="B49:C49"/>
    <mergeCell ref="B55:C55"/>
    <mergeCell ref="B56:C56"/>
    <mergeCell ref="B18:C18"/>
    <mergeCell ref="B19:C19"/>
    <mergeCell ref="B20:C20"/>
    <mergeCell ref="B21:C21"/>
    <mergeCell ref="B26:C26"/>
    <mergeCell ref="B27:C27"/>
    <mergeCell ref="B28:C28"/>
    <mergeCell ref="B29:C29"/>
    <mergeCell ref="B35:C35"/>
    <mergeCell ref="E78:H78"/>
    <mergeCell ref="E79:F79"/>
    <mergeCell ref="E80:F80"/>
    <mergeCell ref="K100:L100"/>
    <mergeCell ref="K98:L98"/>
    <mergeCell ref="K96:L96"/>
    <mergeCell ref="K97:L97"/>
    <mergeCell ref="K99:L99"/>
    <mergeCell ref="K93:L93"/>
    <mergeCell ref="I94:J94"/>
    <mergeCell ref="K94:L94"/>
    <mergeCell ref="A91:L92"/>
    <mergeCell ref="I95:J95"/>
    <mergeCell ref="I99:J99"/>
    <mergeCell ref="I97:J97"/>
    <mergeCell ref="K95:L95"/>
    <mergeCell ref="I96:J96"/>
    <mergeCell ref="I98:J98"/>
    <mergeCell ref="A95:B96"/>
    <mergeCell ref="G98:H98"/>
    <mergeCell ref="G94:H94"/>
    <mergeCell ref="G93:H93"/>
    <mergeCell ref="I93:J93"/>
    <mergeCell ref="G96:H96"/>
  </mergeCells>
  <dataValidations count="2">
    <dataValidation type="list" allowBlank="1" showInputMessage="1" showErrorMessage="1" sqref="AJ100 N44 N7" xr:uid="{00000000-0002-0000-0300-000000000000}">
      <formula1>Local</formula1>
    </dataValidation>
    <dataValidation type="whole" allowBlank="1" showInputMessage="1" showErrorMessage="1" sqref="I14:I21 I43:I50 I32:I40 I23:I30 I52:I60" xr:uid="{00000000-0002-0000-0300-000001000000}">
      <formula1>0</formula1>
      <formula2>78300</formula2>
    </dataValidation>
  </dataValidations>
  <pageMargins left="0.7" right="0.7" top="0.75" bottom="0.75" header="0.3" footer="0.3"/>
  <pageSetup scale="74" fitToHeight="2" orientation="landscape" r:id="rId1"/>
  <headerFooter>
    <oddHeader>&amp;CUrban and Suburban Predictive Method</oddHeader>
    <oddFooter>&amp;R&amp;P</oddFooter>
  </headerFooter>
  <rowBreaks count="1" manualBreakCount="1">
    <brk id="6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136"/>
  <sheetViews>
    <sheetView zoomScaleNormal="100" workbookViewId="0"/>
  </sheetViews>
  <sheetFormatPr defaultColWidth="9.140625" defaultRowHeight="12.75" x14ac:dyDescent="0.2"/>
  <cols>
    <col min="1" max="7" width="13.7109375" style="29" customWidth="1"/>
    <col min="8" max="8" width="15.28515625" style="29" customWidth="1"/>
    <col min="9" max="10" width="13.7109375" style="29" customWidth="1"/>
    <col min="11" max="14" width="10.7109375" style="29" customWidth="1"/>
    <col min="15" max="15" width="12.7109375" style="29" customWidth="1"/>
    <col min="16" max="22" width="13.7109375" style="29" customWidth="1"/>
    <col min="23" max="32" width="12.7109375" style="29" customWidth="1"/>
    <col min="33" max="38" width="9.140625" style="29"/>
    <col min="39" max="39" width="11" style="29" customWidth="1"/>
    <col min="40" max="40" width="12.42578125" style="29" customWidth="1"/>
    <col min="41" max="41" width="10.42578125" style="29" customWidth="1"/>
    <col min="42" max="42" width="10.7109375" style="29" customWidth="1"/>
    <col min="43" max="43" width="12.42578125" style="29" customWidth="1"/>
    <col min="44" max="44" width="10.42578125" style="29" customWidth="1"/>
    <col min="45" max="45" width="11.7109375" style="29" customWidth="1"/>
    <col min="46" max="46" width="10.42578125" style="29" customWidth="1"/>
    <col min="47" max="48" width="9.140625" style="29"/>
    <col min="49" max="49" width="10.140625" style="29" customWidth="1"/>
    <col min="50" max="16384" width="9.140625" style="29"/>
  </cols>
  <sheetData>
    <row r="1" spans="1:58" x14ac:dyDescent="0.2">
      <c r="Q1" s="30"/>
      <c r="T1" s="25"/>
      <c r="Z1" s="66"/>
    </row>
    <row r="2" spans="1:58" ht="13.5" thickBot="1" x14ac:dyDescent="0.25">
      <c r="Q2" s="30"/>
      <c r="T2" s="25"/>
      <c r="Z2" s="66"/>
    </row>
    <row r="3" spans="1:58" ht="13.5" thickTop="1" x14ac:dyDescent="0.2">
      <c r="A3" s="35"/>
      <c r="B3" s="709" t="s">
        <v>544</v>
      </c>
      <c r="C3" s="736"/>
      <c r="D3" s="736"/>
      <c r="E3" s="736"/>
      <c r="F3" s="736"/>
      <c r="G3" s="736"/>
      <c r="H3" s="736"/>
      <c r="I3" s="736"/>
      <c r="J3" s="736"/>
      <c r="K3" s="736"/>
      <c r="L3" s="736"/>
      <c r="M3" s="736"/>
      <c r="N3" s="736"/>
      <c r="O3" s="736"/>
      <c r="P3" s="62"/>
      <c r="Q3" s="43"/>
      <c r="R3" s="43"/>
      <c r="S3" s="43"/>
      <c r="T3" s="43"/>
      <c r="U3" s="43"/>
      <c r="V3" s="43"/>
      <c r="W3" s="43"/>
      <c r="X3" s="43"/>
      <c r="Y3" s="43"/>
      <c r="Z3" s="69"/>
      <c r="AA3" s="69"/>
      <c r="AB3" s="45"/>
      <c r="AC3" s="45"/>
      <c r="AD3" s="45"/>
      <c r="AM3" s="45"/>
      <c r="AW3" s="45"/>
      <c r="AX3" s="45"/>
      <c r="AY3" s="45"/>
      <c r="AZ3" s="45"/>
      <c r="BA3" s="45"/>
      <c r="BB3" s="45"/>
      <c r="BC3" s="45"/>
      <c r="BD3" s="45"/>
      <c r="BE3" s="45"/>
      <c r="BF3" s="45"/>
    </row>
    <row r="4" spans="1:58" ht="13.5" thickBot="1" x14ac:dyDescent="0.25">
      <c r="A4" s="45"/>
      <c r="B4" s="737"/>
      <c r="C4" s="737"/>
      <c r="D4" s="737"/>
      <c r="E4" s="737"/>
      <c r="F4" s="737"/>
      <c r="G4" s="737"/>
      <c r="H4" s="737"/>
      <c r="I4" s="737"/>
      <c r="J4" s="737"/>
      <c r="K4" s="737"/>
      <c r="L4" s="737"/>
      <c r="M4" s="737"/>
      <c r="N4" s="737"/>
      <c r="O4" s="737"/>
      <c r="P4" s="25"/>
      <c r="Q4" s="43"/>
      <c r="R4" s="43"/>
      <c r="S4" s="43"/>
      <c r="T4" s="43"/>
      <c r="U4" s="43"/>
      <c r="V4" s="43"/>
      <c r="W4" s="43"/>
      <c r="X4" s="43"/>
      <c r="Y4" s="43"/>
      <c r="Z4" s="69"/>
      <c r="AA4" s="69"/>
      <c r="AB4" s="25"/>
      <c r="AC4" s="25"/>
      <c r="AD4" s="25"/>
      <c r="AW4" s="45"/>
      <c r="AX4" s="45"/>
      <c r="AY4" s="45"/>
      <c r="AZ4" s="45"/>
      <c r="BA4" s="45"/>
      <c r="BB4" s="45"/>
      <c r="BC4" s="45"/>
      <c r="BD4" s="45"/>
      <c r="BE4" s="45"/>
      <c r="BF4" s="45"/>
    </row>
    <row r="5" spans="1:58" x14ac:dyDescent="0.2">
      <c r="B5" s="738" t="s">
        <v>16</v>
      </c>
      <c r="C5" s="323"/>
      <c r="D5" s="41" t="s">
        <v>17</v>
      </c>
      <c r="E5" s="41" t="s">
        <v>18</v>
      </c>
      <c r="F5" s="41" t="s">
        <v>19</v>
      </c>
      <c r="G5" s="41" t="s">
        <v>20</v>
      </c>
      <c r="H5" s="41" t="s">
        <v>21</v>
      </c>
      <c r="I5" s="41" t="s">
        <v>22</v>
      </c>
      <c r="J5" s="41" t="s">
        <v>23</v>
      </c>
      <c r="K5" s="41" t="s">
        <v>24</v>
      </c>
      <c r="L5" s="41" t="s">
        <v>25</v>
      </c>
      <c r="M5" s="41" t="s">
        <v>26</v>
      </c>
      <c r="N5" s="41" t="s">
        <v>27</v>
      </c>
      <c r="O5" s="88" t="s">
        <v>28</v>
      </c>
      <c r="P5" s="46"/>
      <c r="Q5" s="42"/>
      <c r="R5" s="42"/>
      <c r="S5" s="42"/>
      <c r="T5" s="62"/>
      <c r="U5" s="62"/>
      <c r="V5" s="62"/>
      <c r="W5" s="62"/>
      <c r="X5" s="62"/>
      <c r="Y5" s="62"/>
      <c r="AB5" s="62"/>
      <c r="AC5" s="62"/>
      <c r="AD5" s="62"/>
      <c r="AM5" s="45"/>
      <c r="AN5" s="45"/>
      <c r="AO5" s="45"/>
      <c r="AP5" s="25"/>
      <c r="AQ5" s="45"/>
      <c r="AR5" s="25"/>
      <c r="AS5" s="25"/>
      <c r="AT5" s="25"/>
      <c r="AW5" s="45"/>
      <c r="AX5" s="45"/>
      <c r="AY5" s="45"/>
      <c r="AZ5" s="45"/>
      <c r="BA5" s="45"/>
      <c r="BB5" s="45"/>
      <c r="BC5" s="45"/>
      <c r="BD5" s="45"/>
      <c r="BE5" s="45"/>
      <c r="BF5" s="45"/>
    </row>
    <row r="6" spans="1:58" x14ac:dyDescent="0.2">
      <c r="B6" s="780" t="s">
        <v>523</v>
      </c>
      <c r="C6" s="594"/>
      <c r="D6" s="778" t="s">
        <v>545</v>
      </c>
      <c r="E6" s="779"/>
      <c r="F6" s="779"/>
      <c r="G6" s="778" t="s">
        <v>125</v>
      </c>
      <c r="H6" s="745" t="s">
        <v>33</v>
      </c>
      <c r="I6" s="745" t="s">
        <v>547</v>
      </c>
      <c r="J6" s="745" t="s">
        <v>548</v>
      </c>
      <c r="K6" s="745" t="s">
        <v>115</v>
      </c>
      <c r="L6" s="745" t="s">
        <v>116</v>
      </c>
      <c r="M6" s="745" t="s">
        <v>119</v>
      </c>
      <c r="N6" s="745" t="s">
        <v>120</v>
      </c>
      <c r="O6" s="747" t="s">
        <v>549</v>
      </c>
      <c r="Q6" s="69"/>
      <c r="R6" s="69"/>
      <c r="S6" s="69"/>
      <c r="T6" s="62"/>
      <c r="U6" s="62"/>
      <c r="V6" s="62"/>
      <c r="X6" s="45"/>
      <c r="AB6" s="45"/>
      <c r="AC6" s="45"/>
      <c r="AD6" s="45"/>
      <c r="AM6" s="45"/>
      <c r="AN6" s="45"/>
      <c r="AO6" s="25"/>
      <c r="AP6" s="25"/>
      <c r="AQ6" s="25"/>
      <c r="AR6" s="25"/>
      <c r="AS6" s="25"/>
      <c r="AT6" s="25"/>
      <c r="AW6" s="45"/>
      <c r="AX6" s="45"/>
      <c r="AY6" s="45"/>
      <c r="AZ6" s="45"/>
      <c r="BA6" s="45"/>
      <c r="BB6" s="45"/>
      <c r="BC6" s="45"/>
      <c r="BD6" s="45"/>
      <c r="BE6" s="45"/>
      <c r="BF6" s="45"/>
    </row>
    <row r="7" spans="1:58" x14ac:dyDescent="0.2">
      <c r="B7" s="781"/>
      <c r="C7" s="782"/>
      <c r="D7" s="779"/>
      <c r="E7" s="779"/>
      <c r="F7" s="779"/>
      <c r="G7" s="486"/>
      <c r="H7" s="390"/>
      <c r="I7" s="339"/>
      <c r="J7" s="339"/>
      <c r="K7" s="339"/>
      <c r="L7" s="339"/>
      <c r="M7" s="339"/>
      <c r="N7" s="339"/>
      <c r="O7" s="748"/>
      <c r="Q7" s="39"/>
      <c r="R7" s="25"/>
      <c r="S7" s="25"/>
      <c r="T7" s="40"/>
      <c r="U7" s="40"/>
      <c r="V7" s="40"/>
      <c r="W7" s="40"/>
      <c r="X7" s="40"/>
      <c r="Y7" s="40"/>
      <c r="Z7" s="40"/>
      <c r="AA7" s="40"/>
      <c r="AB7" s="25"/>
      <c r="AC7" s="45"/>
      <c r="AD7" s="25"/>
      <c r="AM7" s="25"/>
      <c r="AN7" s="25"/>
      <c r="AO7" s="25"/>
      <c r="AP7" s="25"/>
      <c r="AQ7" s="84"/>
      <c r="AR7" s="84"/>
      <c r="AS7" s="84"/>
      <c r="AT7" s="84"/>
      <c r="AW7" s="31"/>
      <c r="AX7" s="28"/>
      <c r="AY7" s="28"/>
      <c r="AZ7" s="28"/>
      <c r="BA7" s="28"/>
      <c r="BB7" s="28"/>
      <c r="BC7" s="28"/>
      <c r="BD7" s="28"/>
      <c r="BE7" s="28"/>
      <c r="BF7" s="28"/>
    </row>
    <row r="8" spans="1:58" x14ac:dyDescent="0.2">
      <c r="B8" s="781"/>
      <c r="C8" s="782"/>
      <c r="D8" s="775" t="s">
        <v>111</v>
      </c>
      <c r="E8" s="775" t="s">
        <v>546</v>
      </c>
      <c r="F8" s="775" t="s">
        <v>112</v>
      </c>
      <c r="G8" s="486"/>
      <c r="H8" s="390"/>
      <c r="I8" s="775" t="s">
        <v>117</v>
      </c>
      <c r="J8" s="775" t="s">
        <v>118</v>
      </c>
      <c r="K8" s="750" t="s">
        <v>121</v>
      </c>
      <c r="L8" s="750" t="s">
        <v>122</v>
      </c>
      <c r="M8" s="750" t="s">
        <v>123</v>
      </c>
      <c r="N8" s="750" t="s">
        <v>124</v>
      </c>
      <c r="O8" s="742" t="s">
        <v>550</v>
      </c>
      <c r="P8" s="47"/>
      <c r="T8" s="37"/>
      <c r="U8" s="37"/>
      <c r="V8" s="37"/>
      <c r="W8" s="37"/>
      <c r="X8" s="37"/>
      <c r="Y8" s="37"/>
      <c r="Z8" s="37"/>
      <c r="AA8" s="37"/>
      <c r="AB8" s="25"/>
      <c r="AC8" s="25"/>
      <c r="AD8" s="25"/>
      <c r="AM8" s="25"/>
      <c r="AN8" s="25"/>
      <c r="AO8" s="25"/>
      <c r="AP8" s="25"/>
      <c r="AQ8" s="85"/>
      <c r="AR8" s="85"/>
      <c r="AS8" s="85"/>
      <c r="AT8" s="85"/>
      <c r="AW8" s="31"/>
      <c r="AX8" s="28"/>
      <c r="AY8" s="28"/>
      <c r="AZ8" s="28"/>
      <c r="BA8" s="28"/>
      <c r="BB8" s="28"/>
      <c r="BC8" s="28"/>
      <c r="BD8" s="28"/>
      <c r="BE8" s="28"/>
      <c r="BF8" s="28"/>
    </row>
    <row r="9" spans="1:58" ht="13.5" thickBot="1" x14ac:dyDescent="0.25">
      <c r="A9" s="45"/>
      <c r="B9" s="783"/>
      <c r="C9" s="784"/>
      <c r="D9" s="776"/>
      <c r="E9" s="776"/>
      <c r="F9" s="776"/>
      <c r="G9" s="785"/>
      <c r="H9" s="777"/>
      <c r="I9" s="786"/>
      <c r="J9" s="786"/>
      <c r="K9" s="777"/>
      <c r="L9" s="777"/>
      <c r="M9" s="777"/>
      <c r="N9" s="777"/>
      <c r="O9" s="743"/>
      <c r="P9" s="46"/>
      <c r="Q9" s="70"/>
      <c r="R9" s="71"/>
      <c r="S9" s="71"/>
      <c r="T9" s="72"/>
      <c r="U9" s="72"/>
      <c r="V9" s="72"/>
      <c r="W9" s="34"/>
      <c r="X9" s="34"/>
      <c r="Y9" s="34"/>
      <c r="Z9" s="34"/>
      <c r="AA9" s="34"/>
      <c r="AM9" s="39"/>
      <c r="AN9" s="25"/>
      <c r="AO9" s="52"/>
      <c r="AP9" s="25"/>
      <c r="AQ9" s="83"/>
      <c r="AR9" s="83"/>
      <c r="AS9" s="86"/>
      <c r="AT9" s="86"/>
      <c r="AW9" s="31"/>
      <c r="AX9" s="28"/>
      <c r="AY9" s="28"/>
      <c r="AZ9" s="28"/>
      <c r="BA9" s="28"/>
      <c r="BB9" s="28"/>
      <c r="BC9" s="28"/>
      <c r="BD9" s="28"/>
      <c r="BE9" s="28"/>
      <c r="BF9" s="28"/>
    </row>
    <row r="10" spans="1:58" x14ac:dyDescent="0.2">
      <c r="A10" s="31"/>
      <c r="B10" s="744" t="s">
        <v>113</v>
      </c>
      <c r="C10" s="744"/>
      <c r="D10" s="744"/>
      <c r="E10" s="744"/>
      <c r="F10" s="744"/>
      <c r="G10" s="744"/>
      <c r="H10" s="744"/>
      <c r="I10" s="744"/>
      <c r="J10" s="744"/>
      <c r="K10" s="744"/>
      <c r="L10" s="744"/>
      <c r="M10" s="744"/>
      <c r="N10" s="744"/>
      <c r="O10" s="744"/>
      <c r="P10" s="66"/>
      <c r="Q10" s="70"/>
      <c r="R10" s="71"/>
      <c r="S10" s="71"/>
      <c r="T10" s="34"/>
      <c r="U10" s="34"/>
      <c r="V10" s="34"/>
      <c r="W10" s="34"/>
      <c r="X10" s="34"/>
      <c r="Y10" s="34"/>
      <c r="Z10" s="34"/>
      <c r="AA10" s="34"/>
      <c r="AB10" s="11"/>
      <c r="AC10" s="11"/>
      <c r="AD10" s="11"/>
      <c r="AM10" s="25"/>
      <c r="AN10" s="25"/>
      <c r="AO10" s="25"/>
      <c r="AP10" s="25"/>
      <c r="AQ10" s="83"/>
      <c r="AR10" s="83"/>
      <c r="AS10" s="83"/>
      <c r="AT10" s="83"/>
      <c r="AW10" s="31"/>
      <c r="AX10" s="28"/>
      <c r="AY10" s="28"/>
      <c r="AZ10" s="28"/>
      <c r="BA10" s="28"/>
      <c r="BB10" s="28"/>
      <c r="BC10" s="28"/>
      <c r="BD10" s="28"/>
      <c r="BE10" s="28"/>
      <c r="BF10" s="28"/>
    </row>
    <row r="11" spans="1:58" x14ac:dyDescent="0.2">
      <c r="A11" s="31"/>
      <c r="B11" s="752" t="s">
        <v>524</v>
      </c>
      <c r="C11" s="435"/>
      <c r="D11" s="435"/>
      <c r="E11" s="435"/>
      <c r="F11" s="435"/>
      <c r="G11" s="435"/>
      <c r="H11" s="435"/>
      <c r="I11" s="435"/>
      <c r="J11" s="435"/>
      <c r="K11" s="435"/>
      <c r="L11" s="435"/>
      <c r="M11" s="435"/>
      <c r="N11" s="435"/>
      <c r="O11" s="435"/>
      <c r="P11" s="66"/>
      <c r="Q11" s="70"/>
      <c r="R11" s="71"/>
      <c r="S11" s="71"/>
      <c r="T11" s="34"/>
      <c r="U11" s="34"/>
      <c r="V11" s="34"/>
      <c r="W11" s="34"/>
      <c r="X11" s="34"/>
      <c r="Y11" s="34"/>
      <c r="Z11" s="34"/>
      <c r="AA11" s="34"/>
      <c r="AB11" s="11"/>
      <c r="AC11" s="11"/>
      <c r="AD11" s="11"/>
      <c r="AM11" s="25"/>
      <c r="AN11" s="25"/>
      <c r="AO11" s="25"/>
      <c r="AP11" s="25"/>
      <c r="AQ11" s="83"/>
      <c r="AR11" s="83"/>
      <c r="AS11" s="83"/>
      <c r="AT11" s="83"/>
      <c r="AW11" s="31"/>
      <c r="AX11" s="28"/>
      <c r="AY11" s="28"/>
      <c r="AZ11" s="28"/>
      <c r="BA11" s="28"/>
      <c r="BB11" s="28"/>
      <c r="BC11" s="28"/>
      <c r="BD11" s="28"/>
      <c r="BE11" s="28"/>
      <c r="BF11" s="28"/>
    </row>
    <row r="12" spans="1:58" x14ac:dyDescent="0.2">
      <c r="A12" s="31"/>
      <c r="B12" s="502" t="s">
        <v>649</v>
      </c>
      <c r="C12" s="333"/>
      <c r="D12" s="55">
        <f ca="1">IFERROR(INDIRECT(B12 &amp; "!" &amp; "$N$47"),0)</f>
        <v>0</v>
      </c>
      <c r="E12" s="55">
        <f ca="1">IFERROR(INDIRECT(B12 &amp; "!" &amp; "$N$48"),0)</f>
        <v>0</v>
      </c>
      <c r="F12" s="55">
        <f ca="1">IFERROR(INDIRECT(B12 &amp; "!" &amp; "$N$50"),0)</f>
        <v>0</v>
      </c>
      <c r="G12" s="89" t="s">
        <v>14</v>
      </c>
      <c r="H12" s="55">
        <f ca="1">IFERROR(INDIRECT(B12 &amp; "!" &amp; "$E$47"),0)</f>
        <v>0.84</v>
      </c>
      <c r="I12" s="91">
        <f ca="1">+H12*D12*D12</f>
        <v>0</v>
      </c>
      <c r="J12" s="91">
        <f ca="1">SQRT(H12*D12)</f>
        <v>0</v>
      </c>
      <c r="K12" s="89" t="s">
        <v>14</v>
      </c>
      <c r="L12" s="89" t="s">
        <v>14</v>
      </c>
      <c r="M12" s="89" t="s">
        <v>14</v>
      </c>
      <c r="N12" s="89" t="s">
        <v>14</v>
      </c>
      <c r="O12" s="177" t="s">
        <v>14</v>
      </c>
      <c r="P12" s="66"/>
      <c r="Q12" s="70"/>
      <c r="R12" s="71"/>
      <c r="S12" s="71"/>
      <c r="T12" s="34"/>
      <c r="U12" s="34"/>
      <c r="V12" s="34"/>
      <c r="W12" s="34"/>
      <c r="X12" s="34"/>
      <c r="Y12" s="34"/>
      <c r="Z12" s="34"/>
      <c r="AA12" s="34"/>
      <c r="AB12" s="11"/>
      <c r="AC12" s="11"/>
      <c r="AD12" s="11"/>
      <c r="AM12" s="53"/>
      <c r="AN12" s="36"/>
      <c r="AO12" s="52"/>
      <c r="AP12" s="25"/>
      <c r="AQ12" s="83"/>
      <c r="AR12" s="83"/>
      <c r="AS12" s="86"/>
      <c r="AT12" s="86"/>
      <c r="AW12" s="81"/>
    </row>
    <row r="13" spans="1:58" x14ac:dyDescent="0.2">
      <c r="A13" s="31"/>
      <c r="B13" s="502" t="s">
        <v>650</v>
      </c>
      <c r="C13" s="333"/>
      <c r="D13" s="224">
        <f t="shared" ref="D13:D19" ca="1" si="0">IFERROR(INDIRECT(B13 &amp; "!" &amp; "$N$47"),0)</f>
        <v>0</v>
      </c>
      <c r="E13" s="224">
        <f t="shared" ref="E13:E19" ca="1" si="1">IFERROR(INDIRECT(B13 &amp; "!" &amp; "$N$48"),0)</f>
        <v>0</v>
      </c>
      <c r="F13" s="224">
        <f t="shared" ref="F13:F19" ca="1" si="2">IFERROR(INDIRECT(B13 &amp; "!" &amp; "$N$50"),0)</f>
        <v>0</v>
      </c>
      <c r="G13" s="89" t="s">
        <v>14</v>
      </c>
      <c r="H13" s="224">
        <f t="shared" ref="H13:H19" ca="1" si="3">IFERROR(INDIRECT(B13 &amp; "!" &amp; "$E$47"),0)</f>
        <v>0</v>
      </c>
      <c r="I13" s="91">
        <f t="shared" ref="I13:I19" ca="1" si="4">+H13*D13*D13</f>
        <v>0</v>
      </c>
      <c r="J13" s="91">
        <f t="shared" ref="J13:J19" ca="1" si="5">SQRT(H13*D13)</f>
        <v>0</v>
      </c>
      <c r="K13" s="89" t="s">
        <v>14</v>
      </c>
      <c r="L13" s="89" t="s">
        <v>14</v>
      </c>
      <c r="M13" s="89" t="s">
        <v>14</v>
      </c>
      <c r="N13" s="89" t="s">
        <v>14</v>
      </c>
      <c r="O13" s="177" t="s">
        <v>14</v>
      </c>
      <c r="P13" s="66"/>
      <c r="Q13" s="70"/>
      <c r="R13" s="71"/>
      <c r="S13" s="71"/>
      <c r="T13" s="34"/>
      <c r="U13" s="34"/>
      <c r="V13" s="34"/>
      <c r="W13" s="34"/>
      <c r="X13" s="34"/>
      <c r="Y13" s="34"/>
      <c r="Z13" s="34"/>
      <c r="AA13" s="34"/>
      <c r="AB13" s="11"/>
      <c r="AC13" s="11"/>
      <c r="AD13" s="11"/>
      <c r="AM13" s="36"/>
      <c r="AN13" s="36"/>
      <c r="AO13" s="25"/>
      <c r="AP13" s="25"/>
      <c r="AQ13" s="83"/>
      <c r="AR13" s="83"/>
      <c r="AS13" s="83"/>
      <c r="AT13" s="83"/>
    </row>
    <row r="14" spans="1:58" s="227" customFormat="1" x14ac:dyDescent="0.2">
      <c r="A14" s="31"/>
      <c r="B14" s="502" t="s">
        <v>651</v>
      </c>
      <c r="C14" s="333"/>
      <c r="D14" s="224">
        <f t="shared" ca="1" si="0"/>
        <v>0</v>
      </c>
      <c r="E14" s="224">
        <f t="shared" ca="1" si="1"/>
        <v>0</v>
      </c>
      <c r="F14" s="224">
        <f t="shared" ca="1" si="2"/>
        <v>0</v>
      </c>
      <c r="G14" s="89" t="s">
        <v>14</v>
      </c>
      <c r="H14" s="224">
        <f t="shared" ca="1" si="3"/>
        <v>0</v>
      </c>
      <c r="I14" s="91">
        <f t="shared" ca="1" si="4"/>
        <v>0</v>
      </c>
      <c r="J14" s="91">
        <f t="shared" ca="1" si="5"/>
        <v>0</v>
      </c>
      <c r="K14" s="89" t="s">
        <v>14</v>
      </c>
      <c r="L14" s="89" t="s">
        <v>14</v>
      </c>
      <c r="M14" s="89" t="s">
        <v>14</v>
      </c>
      <c r="N14" s="89" t="s">
        <v>14</v>
      </c>
      <c r="O14" s="229" t="s">
        <v>14</v>
      </c>
      <c r="P14" s="66"/>
      <c r="Q14" s="70"/>
      <c r="R14" s="71"/>
      <c r="S14" s="71"/>
      <c r="T14" s="34"/>
      <c r="U14" s="34"/>
      <c r="V14" s="34"/>
      <c r="W14" s="34"/>
      <c r="X14" s="34"/>
      <c r="Y14" s="34"/>
      <c r="Z14" s="34"/>
      <c r="AA14" s="34"/>
      <c r="AB14" s="11"/>
      <c r="AC14" s="11"/>
      <c r="AD14" s="11"/>
      <c r="AM14" s="36"/>
      <c r="AN14" s="36"/>
      <c r="AO14" s="25"/>
      <c r="AP14" s="25"/>
      <c r="AQ14" s="83"/>
      <c r="AR14" s="83"/>
      <c r="AS14" s="83"/>
      <c r="AT14" s="83"/>
    </row>
    <row r="15" spans="1:58" s="227" customFormat="1" x14ac:dyDescent="0.2">
      <c r="A15" s="31"/>
      <c r="B15" s="502" t="s">
        <v>652</v>
      </c>
      <c r="C15" s="333"/>
      <c r="D15" s="224">
        <f t="shared" ca="1" si="0"/>
        <v>0</v>
      </c>
      <c r="E15" s="224">
        <f t="shared" ca="1" si="1"/>
        <v>0</v>
      </c>
      <c r="F15" s="224">
        <f t="shared" ca="1" si="2"/>
        <v>0</v>
      </c>
      <c r="G15" s="89" t="s">
        <v>14</v>
      </c>
      <c r="H15" s="224">
        <f t="shared" ca="1" si="3"/>
        <v>0</v>
      </c>
      <c r="I15" s="91">
        <f t="shared" ca="1" si="4"/>
        <v>0</v>
      </c>
      <c r="J15" s="91">
        <f t="shared" ca="1" si="5"/>
        <v>0</v>
      </c>
      <c r="K15" s="89" t="s">
        <v>14</v>
      </c>
      <c r="L15" s="89" t="s">
        <v>14</v>
      </c>
      <c r="M15" s="89" t="s">
        <v>14</v>
      </c>
      <c r="N15" s="89" t="s">
        <v>14</v>
      </c>
      <c r="O15" s="229" t="s">
        <v>14</v>
      </c>
      <c r="P15" s="66"/>
      <c r="Q15" s="70"/>
      <c r="R15" s="71"/>
      <c r="S15" s="71"/>
      <c r="T15" s="34"/>
      <c r="U15" s="34"/>
      <c r="V15" s="34"/>
      <c r="W15" s="34"/>
      <c r="X15" s="34"/>
      <c r="Y15" s="34"/>
      <c r="Z15" s="34"/>
      <c r="AA15" s="34"/>
      <c r="AB15" s="11"/>
      <c r="AC15" s="11"/>
      <c r="AD15" s="11"/>
      <c r="AM15" s="36"/>
      <c r="AN15" s="36"/>
      <c r="AO15" s="25"/>
      <c r="AP15" s="25"/>
      <c r="AQ15" s="83"/>
      <c r="AR15" s="83"/>
      <c r="AS15" s="83"/>
      <c r="AT15" s="83"/>
    </row>
    <row r="16" spans="1:58" s="227" customFormat="1" x14ac:dyDescent="0.2">
      <c r="A16" s="31"/>
      <c r="B16" s="502" t="s">
        <v>653</v>
      </c>
      <c r="C16" s="333"/>
      <c r="D16" s="224">
        <f t="shared" ca="1" si="0"/>
        <v>0</v>
      </c>
      <c r="E16" s="224">
        <f t="shared" ca="1" si="1"/>
        <v>0</v>
      </c>
      <c r="F16" s="224">
        <f t="shared" ca="1" si="2"/>
        <v>0</v>
      </c>
      <c r="G16" s="89" t="s">
        <v>14</v>
      </c>
      <c r="H16" s="224">
        <f t="shared" ca="1" si="3"/>
        <v>0</v>
      </c>
      <c r="I16" s="91">
        <f t="shared" ca="1" si="4"/>
        <v>0</v>
      </c>
      <c r="J16" s="91">
        <f t="shared" ca="1" si="5"/>
        <v>0</v>
      </c>
      <c r="K16" s="89" t="s">
        <v>14</v>
      </c>
      <c r="L16" s="89" t="s">
        <v>14</v>
      </c>
      <c r="M16" s="89" t="s">
        <v>14</v>
      </c>
      <c r="N16" s="89" t="s">
        <v>14</v>
      </c>
      <c r="O16" s="229" t="s">
        <v>14</v>
      </c>
      <c r="P16" s="66"/>
      <c r="Q16" s="70"/>
      <c r="R16" s="71"/>
      <c r="S16" s="71"/>
      <c r="T16" s="34"/>
      <c r="U16" s="34"/>
      <c r="V16" s="34"/>
      <c r="W16" s="34"/>
      <c r="X16" s="34"/>
      <c r="Y16" s="34"/>
      <c r="Z16" s="34"/>
      <c r="AA16" s="34"/>
      <c r="AB16" s="11"/>
      <c r="AC16" s="11"/>
      <c r="AD16" s="11"/>
      <c r="AM16" s="36"/>
      <c r="AN16" s="36"/>
      <c r="AO16" s="25"/>
      <c r="AP16" s="25"/>
      <c r="AQ16" s="83"/>
      <c r="AR16" s="83"/>
      <c r="AS16" s="83"/>
      <c r="AT16" s="83"/>
    </row>
    <row r="17" spans="1:53" s="227" customFormat="1" x14ac:dyDescent="0.2">
      <c r="A17" s="31"/>
      <c r="B17" s="502" t="s">
        <v>654</v>
      </c>
      <c r="C17" s="333"/>
      <c r="D17" s="224">
        <f t="shared" ca="1" si="0"/>
        <v>0</v>
      </c>
      <c r="E17" s="224">
        <f t="shared" ca="1" si="1"/>
        <v>0</v>
      </c>
      <c r="F17" s="224">
        <f t="shared" ca="1" si="2"/>
        <v>0</v>
      </c>
      <c r="G17" s="89" t="s">
        <v>14</v>
      </c>
      <c r="H17" s="224">
        <f t="shared" ca="1" si="3"/>
        <v>0</v>
      </c>
      <c r="I17" s="91">
        <f t="shared" ca="1" si="4"/>
        <v>0</v>
      </c>
      <c r="J17" s="91">
        <f t="shared" ca="1" si="5"/>
        <v>0</v>
      </c>
      <c r="K17" s="89" t="s">
        <v>14</v>
      </c>
      <c r="L17" s="89" t="s">
        <v>14</v>
      </c>
      <c r="M17" s="89" t="s">
        <v>14</v>
      </c>
      <c r="N17" s="89" t="s">
        <v>14</v>
      </c>
      <c r="O17" s="229" t="s">
        <v>14</v>
      </c>
      <c r="P17" s="66"/>
      <c r="Q17" s="70"/>
      <c r="R17" s="71"/>
      <c r="S17" s="71"/>
      <c r="T17" s="34"/>
      <c r="U17" s="34"/>
      <c r="V17" s="34"/>
      <c r="W17" s="34"/>
      <c r="X17" s="34"/>
      <c r="Y17" s="34"/>
      <c r="Z17" s="34"/>
      <c r="AA17" s="34"/>
      <c r="AB17" s="11"/>
      <c r="AC17" s="11"/>
      <c r="AD17" s="11"/>
      <c r="AM17" s="36"/>
      <c r="AN17" s="36"/>
      <c r="AO17" s="25"/>
      <c r="AP17" s="25"/>
      <c r="AQ17" s="83"/>
      <c r="AR17" s="83"/>
      <c r="AS17" s="83"/>
      <c r="AT17" s="83"/>
    </row>
    <row r="18" spans="1:53" x14ac:dyDescent="0.2">
      <c r="A18" s="31"/>
      <c r="B18" s="502" t="s">
        <v>655</v>
      </c>
      <c r="C18" s="333"/>
      <c r="D18" s="224">
        <f t="shared" ca="1" si="0"/>
        <v>0</v>
      </c>
      <c r="E18" s="224">
        <f t="shared" ca="1" si="1"/>
        <v>0</v>
      </c>
      <c r="F18" s="224">
        <f t="shared" ca="1" si="2"/>
        <v>0</v>
      </c>
      <c r="G18" s="89" t="s">
        <v>14</v>
      </c>
      <c r="H18" s="224">
        <f t="shared" ca="1" si="3"/>
        <v>0</v>
      </c>
      <c r="I18" s="91">
        <f t="shared" ca="1" si="4"/>
        <v>0</v>
      </c>
      <c r="J18" s="91">
        <f t="shared" ca="1" si="5"/>
        <v>0</v>
      </c>
      <c r="K18" s="89" t="s">
        <v>14</v>
      </c>
      <c r="L18" s="89" t="s">
        <v>14</v>
      </c>
      <c r="M18" s="89" t="s">
        <v>14</v>
      </c>
      <c r="N18" s="89" t="s">
        <v>14</v>
      </c>
      <c r="O18" s="177" t="s">
        <v>14</v>
      </c>
      <c r="P18" s="66"/>
      <c r="Q18" s="70"/>
      <c r="R18" s="71"/>
      <c r="S18" s="71"/>
      <c r="T18" s="34"/>
      <c r="U18" s="34"/>
      <c r="V18" s="34"/>
      <c r="W18" s="34"/>
      <c r="X18" s="34"/>
      <c r="Y18" s="34"/>
      <c r="Z18" s="34"/>
      <c r="AA18" s="34"/>
      <c r="AB18" s="11"/>
      <c r="AC18" s="11"/>
      <c r="AD18" s="11"/>
      <c r="AM18" s="36"/>
      <c r="AN18" s="36"/>
      <c r="AO18" s="52"/>
      <c r="AP18" s="28"/>
      <c r="AQ18" s="28"/>
      <c r="AR18" s="28"/>
      <c r="AS18" s="28"/>
      <c r="AT18" s="28"/>
    </row>
    <row r="19" spans="1:53" ht="13.5" thickBot="1" x14ac:dyDescent="0.25">
      <c r="A19" s="31"/>
      <c r="B19" s="787" t="s">
        <v>656</v>
      </c>
      <c r="C19" s="311"/>
      <c r="D19" s="223">
        <f t="shared" ca="1" si="0"/>
        <v>0</v>
      </c>
      <c r="E19" s="223">
        <f t="shared" ca="1" si="1"/>
        <v>0</v>
      </c>
      <c r="F19" s="223">
        <f t="shared" ca="1" si="2"/>
        <v>0</v>
      </c>
      <c r="G19" s="241" t="s">
        <v>14</v>
      </c>
      <c r="H19" s="223">
        <f t="shared" ca="1" si="3"/>
        <v>0</v>
      </c>
      <c r="I19" s="242">
        <f t="shared" ca="1" si="4"/>
        <v>0</v>
      </c>
      <c r="J19" s="242">
        <f t="shared" ca="1" si="5"/>
        <v>0</v>
      </c>
      <c r="K19" s="241" t="s">
        <v>14</v>
      </c>
      <c r="L19" s="241" t="s">
        <v>14</v>
      </c>
      <c r="M19" s="241" t="s">
        <v>14</v>
      </c>
      <c r="N19" s="241" t="s">
        <v>14</v>
      </c>
      <c r="O19" s="243" t="s">
        <v>14</v>
      </c>
      <c r="P19" s="66"/>
      <c r="Q19" s="70"/>
      <c r="R19" s="71"/>
      <c r="S19" s="71"/>
      <c r="T19" s="34"/>
      <c r="U19" s="34"/>
      <c r="V19" s="34"/>
      <c r="W19" s="34"/>
      <c r="X19" s="34"/>
      <c r="Y19" s="34"/>
      <c r="Z19" s="34"/>
      <c r="AA19" s="34"/>
      <c r="AB19" s="11"/>
      <c r="AC19" s="11"/>
      <c r="AD19" s="11"/>
      <c r="AM19" s="80"/>
      <c r="AN19" s="80"/>
      <c r="AO19" s="75"/>
      <c r="AP19" s="75"/>
      <c r="AQ19" s="75"/>
      <c r="AR19" s="75"/>
      <c r="AS19" s="75"/>
      <c r="AT19" s="75"/>
    </row>
    <row r="20" spans="1:53" s="227" customFormat="1" ht="13.5" thickBot="1" x14ac:dyDescent="0.25">
      <c r="A20" s="31"/>
      <c r="B20" s="771" t="s">
        <v>617</v>
      </c>
      <c r="C20" s="771"/>
      <c r="D20" s="231">
        <f ca="1">SUM(D12:D19)</f>
        <v>0</v>
      </c>
      <c r="E20" s="231">
        <f t="shared" ref="E20:F20" ca="1" si="6">SUM(E12:E19)</f>
        <v>0</v>
      </c>
      <c r="F20" s="231">
        <f t="shared" ca="1" si="6"/>
        <v>0</v>
      </c>
      <c r="G20" s="244"/>
      <c r="H20" s="231"/>
      <c r="I20" s="245"/>
      <c r="J20" s="245"/>
      <c r="K20" s="244"/>
      <c r="L20" s="244"/>
      <c r="M20" s="244"/>
      <c r="N20" s="244"/>
      <c r="O20" s="246"/>
      <c r="P20" s="66"/>
      <c r="Q20" s="70"/>
      <c r="R20" s="71"/>
      <c r="S20" s="71"/>
      <c r="T20" s="34"/>
      <c r="U20" s="34"/>
      <c r="V20" s="34"/>
      <c r="W20" s="34"/>
      <c r="X20" s="34"/>
      <c r="Y20" s="34"/>
      <c r="Z20" s="34"/>
      <c r="AA20" s="34"/>
      <c r="AB20" s="11"/>
      <c r="AC20" s="11"/>
      <c r="AD20" s="11"/>
      <c r="AM20" s="80"/>
      <c r="AN20" s="80"/>
      <c r="AO20" s="75"/>
      <c r="AP20" s="75"/>
      <c r="AQ20" s="75"/>
      <c r="AR20" s="75"/>
      <c r="AS20" s="75"/>
      <c r="AT20" s="75"/>
    </row>
    <row r="21" spans="1:53" x14ac:dyDescent="0.2">
      <c r="A21" s="31"/>
      <c r="B21" s="788" t="s">
        <v>525</v>
      </c>
      <c r="C21" s="432"/>
      <c r="D21" s="432"/>
      <c r="E21" s="432"/>
      <c r="F21" s="432"/>
      <c r="G21" s="432"/>
      <c r="H21" s="432"/>
      <c r="I21" s="432"/>
      <c r="J21" s="432"/>
      <c r="K21" s="432"/>
      <c r="L21" s="432"/>
      <c r="M21" s="432"/>
      <c r="N21" s="432"/>
      <c r="O21" s="432"/>
      <c r="P21" s="66"/>
      <c r="Q21" s="70"/>
      <c r="R21" s="71"/>
      <c r="S21" s="71"/>
      <c r="T21" s="34"/>
      <c r="U21" s="34"/>
      <c r="V21" s="34"/>
      <c r="W21" s="34"/>
      <c r="X21" s="34"/>
      <c r="Y21" s="34"/>
      <c r="Z21" s="34"/>
      <c r="AA21" s="34"/>
      <c r="AB21" s="11"/>
      <c r="AC21" s="11"/>
      <c r="AD21" s="11"/>
      <c r="AM21" s="80"/>
      <c r="AN21" s="80"/>
      <c r="AO21" s="75"/>
      <c r="AP21" s="75"/>
      <c r="AQ21" s="75"/>
      <c r="AR21" s="75"/>
      <c r="AS21" s="75"/>
      <c r="AT21" s="75"/>
    </row>
    <row r="22" spans="1:53" x14ac:dyDescent="0.2">
      <c r="A22" s="31"/>
      <c r="B22" s="502" t="s">
        <v>649</v>
      </c>
      <c r="C22" s="333"/>
      <c r="D22" s="55">
        <f ca="1">IFERROR(INDIRECT(B22 &amp; "!" &amp; "$N$79"),0)</f>
        <v>0</v>
      </c>
      <c r="E22" s="55">
        <f ca="1">IFERROR(INDIRECT(B22 &amp; "!" &amp; "$N$80"),0)</f>
        <v>0</v>
      </c>
      <c r="F22" s="55">
        <f ca="1">IFERROR(INDIRECT(B22 &amp; "!" &amp; "$N$82"),0)</f>
        <v>0</v>
      </c>
      <c r="G22" s="89" t="s">
        <v>14</v>
      </c>
      <c r="H22" s="55">
        <f ca="1">IFERROR(INDIRECT(B22 &amp; "!" &amp; "$E$79"),0)</f>
        <v>0.81</v>
      </c>
      <c r="I22" s="91">
        <f ca="1">+H22*D22*D22</f>
        <v>0</v>
      </c>
      <c r="J22" s="91">
        <f ca="1">SQRT(H22*D22)</f>
        <v>0</v>
      </c>
      <c r="K22" s="89" t="s">
        <v>14</v>
      </c>
      <c r="L22" s="89" t="s">
        <v>14</v>
      </c>
      <c r="M22" s="89" t="s">
        <v>14</v>
      </c>
      <c r="N22" s="89" t="s">
        <v>14</v>
      </c>
      <c r="O22" s="177" t="s">
        <v>14</v>
      </c>
      <c r="P22" s="66"/>
      <c r="Q22" s="70"/>
      <c r="R22" s="71"/>
      <c r="S22" s="71"/>
      <c r="T22" s="34"/>
      <c r="U22" s="34"/>
      <c r="V22" s="34"/>
      <c r="W22" s="34"/>
      <c r="X22" s="34"/>
      <c r="Y22" s="34"/>
      <c r="Z22" s="34"/>
      <c r="AA22" s="34"/>
      <c r="AB22" s="11"/>
      <c r="AC22" s="11"/>
      <c r="AD22" s="11"/>
      <c r="AM22" s="80"/>
      <c r="AN22" s="80"/>
      <c r="AO22" s="75"/>
      <c r="AP22" s="75"/>
      <c r="AQ22" s="75"/>
      <c r="AR22" s="75"/>
      <c r="AS22" s="75"/>
      <c r="AT22" s="75"/>
    </row>
    <row r="23" spans="1:53" x14ac:dyDescent="0.2">
      <c r="A23" s="31"/>
      <c r="B23" s="502" t="s">
        <v>650</v>
      </c>
      <c r="C23" s="333"/>
      <c r="D23" s="224">
        <f t="shared" ref="D23:D29" ca="1" si="7">IFERROR(INDIRECT(B23 &amp; "!" &amp; "$N$79"),0)</f>
        <v>0</v>
      </c>
      <c r="E23" s="224">
        <f t="shared" ref="E23:E29" ca="1" si="8">IFERROR(INDIRECT(B23 &amp; "!" &amp; "$N$80"),0)</f>
        <v>0</v>
      </c>
      <c r="F23" s="224">
        <f t="shared" ref="F23:F29" ca="1" si="9">IFERROR(INDIRECT(B23 &amp; "!" &amp; "$N$82"),0)</f>
        <v>0</v>
      </c>
      <c r="G23" s="89" t="s">
        <v>14</v>
      </c>
      <c r="H23" s="224">
        <f t="shared" ref="H23:H29" ca="1" si="10">IFERROR(INDIRECT(B23 &amp; "!" &amp; "$E$79"),0)</f>
        <v>0</v>
      </c>
      <c r="I23" s="91">
        <f t="shared" ref="I23:I29" ca="1" si="11">+H23*D23*D23</f>
        <v>0</v>
      </c>
      <c r="J23" s="91">
        <f t="shared" ref="J23:J29" ca="1" si="12">SQRT(H23*D23)</f>
        <v>0</v>
      </c>
      <c r="K23" s="89" t="s">
        <v>14</v>
      </c>
      <c r="L23" s="89" t="s">
        <v>14</v>
      </c>
      <c r="M23" s="89" t="s">
        <v>14</v>
      </c>
      <c r="N23" s="89" t="s">
        <v>14</v>
      </c>
      <c r="O23" s="177" t="s">
        <v>14</v>
      </c>
      <c r="P23" s="66"/>
      <c r="Q23" s="70"/>
      <c r="R23" s="71"/>
      <c r="S23" s="71"/>
      <c r="T23" s="34"/>
      <c r="U23" s="34"/>
      <c r="V23" s="34"/>
      <c r="W23" s="34"/>
      <c r="X23" s="34"/>
      <c r="Y23" s="34"/>
      <c r="Z23" s="34"/>
      <c r="AA23" s="34"/>
      <c r="AB23" s="11"/>
      <c r="AC23" s="11"/>
      <c r="AD23" s="11"/>
      <c r="AM23" s="80"/>
      <c r="AN23" s="80"/>
      <c r="AO23" s="75"/>
      <c r="AP23" s="75"/>
      <c r="AQ23" s="75"/>
      <c r="AR23" s="75"/>
      <c r="AS23" s="75"/>
      <c r="AT23" s="75"/>
    </row>
    <row r="24" spans="1:53" s="227" customFormat="1" x14ac:dyDescent="0.2">
      <c r="A24" s="31"/>
      <c r="B24" s="502" t="s">
        <v>651</v>
      </c>
      <c r="C24" s="333"/>
      <c r="D24" s="224">
        <f t="shared" ca="1" si="7"/>
        <v>0</v>
      </c>
      <c r="E24" s="224">
        <f t="shared" ca="1" si="8"/>
        <v>0</v>
      </c>
      <c r="F24" s="224">
        <f t="shared" ca="1" si="9"/>
        <v>0</v>
      </c>
      <c r="G24" s="89" t="s">
        <v>14</v>
      </c>
      <c r="H24" s="224">
        <f t="shared" ca="1" si="10"/>
        <v>0</v>
      </c>
      <c r="I24" s="91">
        <f t="shared" ca="1" si="11"/>
        <v>0</v>
      </c>
      <c r="J24" s="91">
        <f t="shared" ca="1" si="12"/>
        <v>0</v>
      </c>
      <c r="K24" s="89" t="s">
        <v>14</v>
      </c>
      <c r="L24" s="89" t="s">
        <v>14</v>
      </c>
      <c r="M24" s="89" t="s">
        <v>14</v>
      </c>
      <c r="N24" s="89" t="s">
        <v>14</v>
      </c>
      <c r="O24" s="229" t="s">
        <v>14</v>
      </c>
      <c r="P24" s="66"/>
      <c r="Q24" s="70"/>
      <c r="R24" s="71"/>
      <c r="S24" s="71"/>
      <c r="T24" s="34"/>
      <c r="U24" s="34"/>
      <c r="V24" s="34"/>
      <c r="W24" s="34"/>
      <c r="X24" s="34"/>
      <c r="Y24" s="34"/>
      <c r="Z24" s="34"/>
      <c r="AA24" s="34"/>
      <c r="AB24" s="11"/>
      <c r="AC24" s="11"/>
      <c r="AD24" s="11"/>
      <c r="AM24" s="80"/>
      <c r="AN24" s="80"/>
      <c r="AO24" s="75"/>
      <c r="AP24" s="75"/>
      <c r="AQ24" s="75"/>
      <c r="AR24" s="75"/>
      <c r="AS24" s="75"/>
      <c r="AT24" s="75"/>
    </row>
    <row r="25" spans="1:53" s="227" customFormat="1" x14ac:dyDescent="0.2">
      <c r="A25" s="31"/>
      <c r="B25" s="502" t="s">
        <v>652</v>
      </c>
      <c r="C25" s="333"/>
      <c r="D25" s="224">
        <f t="shared" ca="1" si="7"/>
        <v>0</v>
      </c>
      <c r="E25" s="224">
        <f t="shared" ca="1" si="8"/>
        <v>0</v>
      </c>
      <c r="F25" s="224">
        <f t="shared" ca="1" si="9"/>
        <v>0</v>
      </c>
      <c r="G25" s="89" t="s">
        <v>14</v>
      </c>
      <c r="H25" s="224">
        <f t="shared" ca="1" si="10"/>
        <v>0</v>
      </c>
      <c r="I25" s="91">
        <f t="shared" ca="1" si="11"/>
        <v>0</v>
      </c>
      <c r="J25" s="91">
        <f t="shared" ca="1" si="12"/>
        <v>0</v>
      </c>
      <c r="K25" s="89" t="s">
        <v>14</v>
      </c>
      <c r="L25" s="89" t="s">
        <v>14</v>
      </c>
      <c r="M25" s="89" t="s">
        <v>14</v>
      </c>
      <c r="N25" s="89" t="s">
        <v>14</v>
      </c>
      <c r="O25" s="229" t="s">
        <v>14</v>
      </c>
      <c r="P25" s="66"/>
      <c r="Q25" s="70"/>
      <c r="R25" s="71"/>
      <c r="S25" s="71"/>
      <c r="T25" s="34"/>
      <c r="U25" s="34"/>
      <c r="V25" s="34"/>
      <c r="W25" s="34"/>
      <c r="X25" s="34"/>
      <c r="Y25" s="34"/>
      <c r="Z25" s="34"/>
      <c r="AA25" s="34"/>
      <c r="AB25" s="11"/>
      <c r="AC25" s="11"/>
      <c r="AD25" s="11"/>
      <c r="AM25" s="80"/>
      <c r="AN25" s="80"/>
      <c r="AO25" s="75"/>
      <c r="AP25" s="75"/>
      <c r="AQ25" s="75"/>
      <c r="AR25" s="75"/>
      <c r="AS25" s="75"/>
      <c r="AT25" s="75"/>
    </row>
    <row r="26" spans="1:53" s="227" customFormat="1" x14ac:dyDescent="0.2">
      <c r="A26" s="31"/>
      <c r="B26" s="502" t="s">
        <v>653</v>
      </c>
      <c r="C26" s="333"/>
      <c r="D26" s="224">
        <f t="shared" ca="1" si="7"/>
        <v>0</v>
      </c>
      <c r="E26" s="224">
        <f t="shared" ca="1" si="8"/>
        <v>0</v>
      </c>
      <c r="F26" s="224">
        <f t="shared" ca="1" si="9"/>
        <v>0</v>
      </c>
      <c r="G26" s="89" t="s">
        <v>14</v>
      </c>
      <c r="H26" s="224">
        <f t="shared" ca="1" si="10"/>
        <v>0</v>
      </c>
      <c r="I26" s="91">
        <f t="shared" ca="1" si="11"/>
        <v>0</v>
      </c>
      <c r="J26" s="91">
        <f t="shared" ca="1" si="12"/>
        <v>0</v>
      </c>
      <c r="K26" s="89" t="s">
        <v>14</v>
      </c>
      <c r="L26" s="89" t="s">
        <v>14</v>
      </c>
      <c r="M26" s="89" t="s">
        <v>14</v>
      </c>
      <c r="N26" s="89" t="s">
        <v>14</v>
      </c>
      <c r="O26" s="229" t="s">
        <v>14</v>
      </c>
      <c r="P26" s="66"/>
      <c r="Q26" s="70"/>
      <c r="R26" s="71"/>
      <c r="S26" s="71"/>
      <c r="T26" s="34"/>
      <c r="U26" s="34"/>
      <c r="V26" s="34"/>
      <c r="W26" s="34"/>
      <c r="X26" s="34"/>
      <c r="Y26" s="34"/>
      <c r="Z26" s="34"/>
      <c r="AA26" s="34"/>
      <c r="AB26" s="11"/>
      <c r="AC26" s="11"/>
      <c r="AD26" s="11"/>
      <c r="AM26" s="80"/>
      <c r="AN26" s="80"/>
      <c r="AO26" s="75"/>
      <c r="AP26" s="75"/>
      <c r="AQ26" s="75"/>
      <c r="AR26" s="75"/>
      <c r="AS26" s="75"/>
      <c r="AT26" s="75"/>
    </row>
    <row r="27" spans="1:53" s="227" customFormat="1" x14ac:dyDescent="0.2">
      <c r="A27" s="31"/>
      <c r="B27" s="502" t="s">
        <v>654</v>
      </c>
      <c r="C27" s="333"/>
      <c r="D27" s="224">
        <f t="shared" ca="1" si="7"/>
        <v>0</v>
      </c>
      <c r="E27" s="224">
        <f t="shared" ca="1" si="8"/>
        <v>0</v>
      </c>
      <c r="F27" s="224">
        <f t="shared" ca="1" si="9"/>
        <v>0</v>
      </c>
      <c r="G27" s="89" t="s">
        <v>14</v>
      </c>
      <c r="H27" s="224">
        <f t="shared" ca="1" si="10"/>
        <v>0</v>
      </c>
      <c r="I27" s="91">
        <f t="shared" ca="1" si="11"/>
        <v>0</v>
      </c>
      <c r="J27" s="91">
        <f t="shared" ca="1" si="12"/>
        <v>0</v>
      </c>
      <c r="K27" s="89" t="s">
        <v>14</v>
      </c>
      <c r="L27" s="89" t="s">
        <v>14</v>
      </c>
      <c r="M27" s="89" t="s">
        <v>14</v>
      </c>
      <c r="N27" s="89" t="s">
        <v>14</v>
      </c>
      <c r="O27" s="229" t="s">
        <v>14</v>
      </c>
      <c r="P27" s="66"/>
      <c r="Q27" s="70"/>
      <c r="R27" s="71"/>
      <c r="S27" s="71"/>
      <c r="T27" s="34"/>
      <c r="U27" s="34"/>
      <c r="V27" s="34"/>
      <c r="W27" s="34"/>
      <c r="X27" s="34"/>
      <c r="Y27" s="34"/>
      <c r="Z27" s="34"/>
      <c r="AA27" s="34"/>
      <c r="AB27" s="11"/>
      <c r="AC27" s="11"/>
      <c r="AD27" s="11"/>
      <c r="AM27" s="80"/>
      <c r="AN27" s="80"/>
      <c r="AO27" s="75"/>
      <c r="AP27" s="75"/>
      <c r="AQ27" s="75"/>
      <c r="AR27" s="75"/>
      <c r="AS27" s="75"/>
      <c r="AT27" s="75"/>
    </row>
    <row r="28" spans="1:53" x14ac:dyDescent="0.2">
      <c r="A28" s="31"/>
      <c r="B28" s="502" t="s">
        <v>655</v>
      </c>
      <c r="C28" s="333"/>
      <c r="D28" s="224">
        <f t="shared" ca="1" si="7"/>
        <v>0</v>
      </c>
      <c r="E28" s="224">
        <f t="shared" ca="1" si="8"/>
        <v>0</v>
      </c>
      <c r="F28" s="224">
        <f t="shared" ca="1" si="9"/>
        <v>0</v>
      </c>
      <c r="G28" s="89" t="s">
        <v>14</v>
      </c>
      <c r="H28" s="224">
        <f t="shared" ca="1" si="10"/>
        <v>0</v>
      </c>
      <c r="I28" s="91">
        <f t="shared" ca="1" si="11"/>
        <v>0</v>
      </c>
      <c r="J28" s="91">
        <f t="shared" ca="1" si="12"/>
        <v>0</v>
      </c>
      <c r="K28" s="89" t="s">
        <v>14</v>
      </c>
      <c r="L28" s="89" t="s">
        <v>14</v>
      </c>
      <c r="M28" s="89" t="s">
        <v>14</v>
      </c>
      <c r="N28" s="89" t="s">
        <v>14</v>
      </c>
      <c r="O28" s="177" t="s">
        <v>14</v>
      </c>
      <c r="P28" s="66"/>
      <c r="Q28" s="70"/>
      <c r="R28" s="71"/>
      <c r="S28" s="71"/>
      <c r="T28" s="34"/>
      <c r="U28" s="34"/>
      <c r="V28" s="34"/>
      <c r="W28" s="34"/>
      <c r="X28" s="34"/>
      <c r="Y28" s="34"/>
      <c r="Z28" s="34"/>
      <c r="AA28" s="34"/>
      <c r="AB28" s="11"/>
      <c r="AC28" s="11"/>
      <c r="AD28" s="11"/>
      <c r="AM28" s="80"/>
      <c r="AN28" s="80"/>
      <c r="AO28" s="75"/>
      <c r="AP28" s="75"/>
      <c r="AQ28" s="75"/>
      <c r="AR28" s="75"/>
      <c r="AS28" s="75"/>
      <c r="AT28" s="75"/>
    </row>
    <row r="29" spans="1:53" ht="13.5" thickBot="1" x14ac:dyDescent="0.25">
      <c r="A29" s="31"/>
      <c r="B29" s="502" t="s">
        <v>656</v>
      </c>
      <c r="C29" s="333"/>
      <c r="D29" s="224">
        <f t="shared" ca="1" si="7"/>
        <v>0</v>
      </c>
      <c r="E29" s="224">
        <f t="shared" ca="1" si="8"/>
        <v>0</v>
      </c>
      <c r="F29" s="224">
        <f t="shared" ca="1" si="9"/>
        <v>0</v>
      </c>
      <c r="G29" s="89" t="s">
        <v>14</v>
      </c>
      <c r="H29" s="224">
        <f t="shared" ca="1" si="10"/>
        <v>0</v>
      </c>
      <c r="I29" s="91">
        <f t="shared" ca="1" si="11"/>
        <v>0</v>
      </c>
      <c r="J29" s="91">
        <f t="shared" ca="1" si="12"/>
        <v>0</v>
      </c>
      <c r="K29" s="89" t="s">
        <v>14</v>
      </c>
      <c r="L29" s="89" t="s">
        <v>14</v>
      </c>
      <c r="M29" s="89" t="s">
        <v>14</v>
      </c>
      <c r="N29" s="89" t="s">
        <v>14</v>
      </c>
      <c r="O29" s="177" t="s">
        <v>14</v>
      </c>
      <c r="P29" s="66"/>
      <c r="Q29" s="70"/>
      <c r="R29" s="71"/>
      <c r="S29" s="71"/>
      <c r="T29" s="34"/>
      <c r="U29" s="34"/>
      <c r="V29" s="34"/>
      <c r="W29" s="34"/>
      <c r="X29" s="34"/>
      <c r="Y29" s="34"/>
      <c r="Z29" s="34"/>
      <c r="AA29" s="34"/>
      <c r="AB29" s="11"/>
      <c r="AC29" s="11"/>
      <c r="AD29" s="11"/>
      <c r="AM29" s="80"/>
      <c r="AN29" s="80"/>
      <c r="AO29" s="75"/>
      <c r="AP29" s="75"/>
      <c r="AQ29" s="75"/>
      <c r="AR29" s="75"/>
      <c r="AS29" s="75"/>
      <c r="AT29" s="75"/>
    </row>
    <row r="30" spans="1:53" s="227" customFormat="1" ht="13.5" thickBot="1" x14ac:dyDescent="0.25">
      <c r="A30" s="31"/>
      <c r="B30" s="771" t="s">
        <v>617</v>
      </c>
      <c r="C30" s="771"/>
      <c r="D30" s="231">
        <f ca="1">SUM(D22:D29)</f>
        <v>0</v>
      </c>
      <c r="E30" s="231">
        <f t="shared" ref="E30" ca="1" si="13">SUM(E22:E29)</f>
        <v>0</v>
      </c>
      <c r="F30" s="231">
        <f t="shared" ref="F30" ca="1" si="14">SUM(F22:F29)</f>
        <v>0</v>
      </c>
      <c r="G30" s="244"/>
      <c r="H30" s="231"/>
      <c r="I30" s="245"/>
      <c r="J30" s="245"/>
      <c r="K30" s="244"/>
      <c r="L30" s="244"/>
      <c r="M30" s="244"/>
      <c r="N30" s="244"/>
      <c r="O30" s="246"/>
      <c r="P30" s="66"/>
      <c r="Q30" s="70"/>
      <c r="R30" s="71"/>
      <c r="S30" s="71"/>
      <c r="T30" s="34"/>
      <c r="U30" s="34"/>
      <c r="V30" s="34"/>
      <c r="W30" s="34"/>
      <c r="X30" s="34"/>
      <c r="Y30" s="34"/>
      <c r="Z30" s="34"/>
      <c r="AA30" s="34"/>
      <c r="AB30" s="11"/>
      <c r="AC30" s="11"/>
      <c r="AD30" s="11"/>
      <c r="AM30" s="80"/>
      <c r="AN30" s="80"/>
      <c r="AO30" s="75"/>
      <c r="AP30" s="75"/>
      <c r="AQ30" s="75"/>
      <c r="AR30" s="75"/>
      <c r="AS30" s="75"/>
      <c r="AT30" s="75"/>
    </row>
    <row r="31" spans="1:53" x14ac:dyDescent="0.2">
      <c r="A31" s="31"/>
      <c r="B31" s="752" t="s">
        <v>526</v>
      </c>
      <c r="C31" s="435"/>
      <c r="D31" s="435"/>
      <c r="E31" s="435"/>
      <c r="F31" s="435"/>
      <c r="G31" s="435"/>
      <c r="H31" s="435"/>
      <c r="I31" s="435"/>
      <c r="J31" s="435"/>
      <c r="K31" s="435"/>
      <c r="L31" s="435"/>
      <c r="M31" s="435"/>
      <c r="N31" s="435"/>
      <c r="O31" s="435"/>
      <c r="P31" s="66"/>
      <c r="Q31" s="70"/>
      <c r="R31" s="71"/>
      <c r="S31" s="71"/>
      <c r="T31" s="34"/>
      <c r="U31" s="34"/>
      <c r="V31" s="34"/>
      <c r="W31" s="34"/>
      <c r="X31" s="34"/>
      <c r="Y31" s="34"/>
      <c r="Z31" s="34"/>
      <c r="AA31" s="34"/>
      <c r="AB31" s="11"/>
      <c r="AC31" s="11"/>
      <c r="AD31" s="11"/>
      <c r="AM31" s="80"/>
      <c r="AN31" s="80"/>
      <c r="AO31" s="75"/>
      <c r="AP31" s="75"/>
      <c r="AQ31" s="75"/>
      <c r="AR31" s="75"/>
      <c r="AS31" s="75"/>
      <c r="AT31" s="75"/>
    </row>
    <row r="32" spans="1:53" x14ac:dyDescent="0.2">
      <c r="A32" s="31"/>
      <c r="B32" s="502" t="s">
        <v>649</v>
      </c>
      <c r="C32" s="333"/>
      <c r="D32" s="55">
        <f ca="1">IFERROR(INDIRECT(B32 &amp; "!" &amp; "$M$126"),0)</f>
        <v>0</v>
      </c>
      <c r="E32" s="55">
        <f ca="1">IFERROR(INDIRECT(B32 &amp; "!" &amp; "$M$127"),0)</f>
        <v>0</v>
      </c>
      <c r="F32" s="55">
        <f ca="1">IFERROR(INDIRECT(B32 &amp; "!" &amp; "$M$128"),0)</f>
        <v>0</v>
      </c>
      <c r="G32" s="89" t="s">
        <v>14</v>
      </c>
      <c r="H32" s="55">
        <f ca="1">IFERROR(INDIRECT(B32 &amp; "!" &amp; "$M$116"),0)</f>
        <v>0.81</v>
      </c>
      <c r="I32" s="91">
        <f ca="1">+H32*D32*D32</f>
        <v>0</v>
      </c>
      <c r="J32" s="91">
        <f ca="1">SQRT(H32*D32)</f>
        <v>0</v>
      </c>
      <c r="K32" s="89" t="s">
        <v>14</v>
      </c>
      <c r="L32" s="89" t="s">
        <v>14</v>
      </c>
      <c r="M32" s="89" t="s">
        <v>14</v>
      </c>
      <c r="N32" s="89" t="s">
        <v>14</v>
      </c>
      <c r="O32" s="177" t="s">
        <v>14</v>
      </c>
      <c r="P32" s="66"/>
      <c r="Q32" s="31"/>
      <c r="T32" s="34"/>
      <c r="U32" s="34"/>
      <c r="V32" s="34"/>
      <c r="W32" s="34"/>
      <c r="X32" s="34"/>
      <c r="Y32" s="34"/>
      <c r="Z32" s="34"/>
      <c r="AA32" s="34"/>
      <c r="AB32" s="11"/>
      <c r="AC32" s="11"/>
      <c r="AD32" s="11"/>
      <c r="AM32" s="75"/>
      <c r="AN32" s="75"/>
      <c r="AO32" s="75"/>
      <c r="AP32" s="75"/>
      <c r="AQ32" s="75"/>
      <c r="AR32" s="75"/>
      <c r="AS32" s="75"/>
      <c r="AT32" s="75"/>
      <c r="AW32" s="31"/>
      <c r="BA32" s="28"/>
    </row>
    <row r="33" spans="1:53" x14ac:dyDescent="0.2">
      <c r="A33" s="31"/>
      <c r="B33" s="502" t="s">
        <v>650</v>
      </c>
      <c r="C33" s="333"/>
      <c r="D33" s="224">
        <f t="shared" ref="D33:D39" ca="1" si="15">IFERROR(INDIRECT(B33 &amp; "!" &amp; "$M$126"),0)</f>
        <v>0</v>
      </c>
      <c r="E33" s="224">
        <f t="shared" ref="E33:E39" ca="1" si="16">IFERROR(INDIRECT(B33 &amp; "!" &amp; "$M$127"),0)</f>
        <v>0</v>
      </c>
      <c r="F33" s="224">
        <f t="shared" ref="F33:F39" ca="1" si="17">IFERROR(INDIRECT(B33 &amp; "!" &amp; "$M$128"),0)</f>
        <v>0</v>
      </c>
      <c r="G33" s="89" t="s">
        <v>14</v>
      </c>
      <c r="H33" s="224">
        <f t="shared" ref="H33:H39" ca="1" si="18">IFERROR(INDIRECT(B33 &amp; "!" &amp; "$M$116"),0)</f>
        <v>0</v>
      </c>
      <c r="I33" s="91">
        <f t="shared" ref="I33:I39" ca="1" si="19">+H33*D33*D33</f>
        <v>0</v>
      </c>
      <c r="J33" s="91">
        <f t="shared" ref="J33:J39" ca="1" si="20">SQRT(H33*D33)</f>
        <v>0</v>
      </c>
      <c r="K33" s="89" t="s">
        <v>14</v>
      </c>
      <c r="L33" s="89" t="s">
        <v>14</v>
      </c>
      <c r="M33" s="89" t="s">
        <v>14</v>
      </c>
      <c r="N33" s="89" t="s">
        <v>14</v>
      </c>
      <c r="O33" s="229" t="s">
        <v>14</v>
      </c>
      <c r="P33" s="66"/>
      <c r="Q33" s="73"/>
      <c r="R33" s="44"/>
      <c r="S33" s="44"/>
      <c r="T33" s="44"/>
      <c r="U33" s="44"/>
      <c r="V33" s="44"/>
      <c r="W33" s="44"/>
      <c r="X33" s="44"/>
      <c r="Y33" s="44"/>
      <c r="Z33" s="44"/>
      <c r="AA33" s="44"/>
      <c r="AB33" s="11"/>
      <c r="AC33" s="11"/>
      <c r="AD33" s="11"/>
      <c r="AM33" s="75"/>
      <c r="AN33" s="80"/>
      <c r="AO33" s="75"/>
      <c r="AP33" s="75"/>
      <c r="AQ33" s="75"/>
      <c r="AR33" s="75"/>
      <c r="AS33" s="75"/>
      <c r="AT33" s="75"/>
    </row>
    <row r="34" spans="1:53" s="227" customFormat="1" x14ac:dyDescent="0.2">
      <c r="A34" s="31"/>
      <c r="B34" s="502" t="s">
        <v>651</v>
      </c>
      <c r="C34" s="333"/>
      <c r="D34" s="224">
        <f t="shared" ca="1" si="15"/>
        <v>0</v>
      </c>
      <c r="E34" s="224">
        <f t="shared" ca="1" si="16"/>
        <v>0</v>
      </c>
      <c r="F34" s="224">
        <f t="shared" ca="1" si="17"/>
        <v>0</v>
      </c>
      <c r="G34" s="89" t="s">
        <v>14</v>
      </c>
      <c r="H34" s="224">
        <f t="shared" ca="1" si="18"/>
        <v>0</v>
      </c>
      <c r="I34" s="91">
        <f t="shared" ca="1" si="19"/>
        <v>0</v>
      </c>
      <c r="J34" s="91">
        <f t="shared" ca="1" si="20"/>
        <v>0</v>
      </c>
      <c r="K34" s="89" t="s">
        <v>14</v>
      </c>
      <c r="L34" s="89" t="s">
        <v>14</v>
      </c>
      <c r="M34" s="89" t="s">
        <v>14</v>
      </c>
      <c r="N34" s="89" t="s">
        <v>14</v>
      </c>
      <c r="O34" s="229" t="s">
        <v>14</v>
      </c>
      <c r="P34" s="66"/>
      <c r="Q34" s="73"/>
      <c r="R34" s="44"/>
      <c r="S34" s="44"/>
      <c r="T34" s="44"/>
      <c r="U34" s="44"/>
      <c r="V34" s="44"/>
      <c r="W34" s="44"/>
      <c r="X34" s="44"/>
      <c r="Y34" s="44"/>
      <c r="Z34" s="44"/>
      <c r="AA34" s="44"/>
      <c r="AB34" s="11"/>
      <c r="AC34" s="11"/>
      <c r="AD34" s="11"/>
      <c r="AM34" s="75"/>
      <c r="AN34" s="80"/>
      <c r="AO34" s="75"/>
      <c r="AP34" s="75"/>
      <c r="AQ34" s="75"/>
      <c r="AR34" s="75"/>
      <c r="AS34" s="75"/>
      <c r="AT34" s="75"/>
    </row>
    <row r="35" spans="1:53" s="227" customFormat="1" x14ac:dyDescent="0.2">
      <c r="A35" s="31"/>
      <c r="B35" s="502" t="s">
        <v>652</v>
      </c>
      <c r="C35" s="333"/>
      <c r="D35" s="224">
        <f t="shared" ca="1" si="15"/>
        <v>0</v>
      </c>
      <c r="E35" s="224">
        <f t="shared" ca="1" si="16"/>
        <v>0</v>
      </c>
      <c r="F35" s="224">
        <f t="shared" ca="1" si="17"/>
        <v>0</v>
      </c>
      <c r="G35" s="89" t="s">
        <v>14</v>
      </c>
      <c r="H35" s="224">
        <f t="shared" ca="1" si="18"/>
        <v>0</v>
      </c>
      <c r="I35" s="91">
        <f t="shared" ca="1" si="19"/>
        <v>0</v>
      </c>
      <c r="J35" s="91">
        <f t="shared" ca="1" si="20"/>
        <v>0</v>
      </c>
      <c r="K35" s="89" t="s">
        <v>14</v>
      </c>
      <c r="L35" s="89" t="s">
        <v>14</v>
      </c>
      <c r="M35" s="89" t="s">
        <v>14</v>
      </c>
      <c r="N35" s="89" t="s">
        <v>14</v>
      </c>
      <c r="O35" s="229" t="s">
        <v>14</v>
      </c>
      <c r="P35" s="66"/>
      <c r="Q35" s="73"/>
      <c r="R35" s="44"/>
      <c r="S35" s="44"/>
      <c r="T35" s="44"/>
      <c r="U35" s="44"/>
      <c r="V35" s="44"/>
      <c r="W35" s="44"/>
      <c r="X35" s="44"/>
      <c r="Y35" s="44"/>
      <c r="Z35" s="44"/>
      <c r="AA35" s="44"/>
      <c r="AB35" s="11"/>
      <c r="AC35" s="11"/>
      <c r="AD35" s="11"/>
      <c r="AM35" s="75"/>
      <c r="AN35" s="80"/>
      <c r="AO35" s="75"/>
      <c r="AP35" s="75"/>
      <c r="AQ35" s="75"/>
      <c r="AR35" s="75"/>
      <c r="AS35" s="75"/>
      <c r="AT35" s="75"/>
    </row>
    <row r="36" spans="1:53" s="227" customFormat="1" x14ac:dyDescent="0.2">
      <c r="A36" s="31"/>
      <c r="B36" s="502" t="s">
        <v>653</v>
      </c>
      <c r="C36" s="333"/>
      <c r="D36" s="224">
        <f t="shared" ca="1" si="15"/>
        <v>0</v>
      </c>
      <c r="E36" s="224">
        <f t="shared" ca="1" si="16"/>
        <v>0</v>
      </c>
      <c r="F36" s="224">
        <f t="shared" ca="1" si="17"/>
        <v>0</v>
      </c>
      <c r="G36" s="89" t="s">
        <v>14</v>
      </c>
      <c r="H36" s="224">
        <f t="shared" ca="1" si="18"/>
        <v>0</v>
      </c>
      <c r="I36" s="91">
        <f t="shared" ca="1" si="19"/>
        <v>0</v>
      </c>
      <c r="J36" s="91">
        <f t="shared" ca="1" si="20"/>
        <v>0</v>
      </c>
      <c r="K36" s="89" t="s">
        <v>14</v>
      </c>
      <c r="L36" s="89" t="s">
        <v>14</v>
      </c>
      <c r="M36" s="89" t="s">
        <v>14</v>
      </c>
      <c r="N36" s="89" t="s">
        <v>14</v>
      </c>
      <c r="O36" s="229" t="s">
        <v>14</v>
      </c>
      <c r="P36" s="66"/>
      <c r="Q36" s="73"/>
      <c r="R36" s="44"/>
      <c r="S36" s="44"/>
      <c r="T36" s="44"/>
      <c r="U36" s="44"/>
      <c r="V36" s="44"/>
      <c r="W36" s="44"/>
      <c r="X36" s="44"/>
      <c r="Y36" s="44"/>
      <c r="Z36" s="44"/>
      <c r="AA36" s="44"/>
      <c r="AB36" s="11"/>
      <c r="AC36" s="11"/>
      <c r="AD36" s="11"/>
      <c r="AM36" s="75"/>
      <c r="AN36" s="80"/>
      <c r="AO36" s="75"/>
      <c r="AP36" s="75"/>
      <c r="AQ36" s="75"/>
      <c r="AR36" s="75"/>
      <c r="AS36" s="75"/>
      <c r="AT36" s="75"/>
    </row>
    <row r="37" spans="1:53" s="227" customFormat="1" x14ac:dyDescent="0.2">
      <c r="A37" s="31"/>
      <c r="B37" s="502" t="s">
        <v>654</v>
      </c>
      <c r="C37" s="333"/>
      <c r="D37" s="224">
        <f t="shared" ca="1" si="15"/>
        <v>0</v>
      </c>
      <c r="E37" s="224">
        <f t="shared" ca="1" si="16"/>
        <v>0</v>
      </c>
      <c r="F37" s="224">
        <f t="shared" ca="1" si="17"/>
        <v>0</v>
      </c>
      <c r="G37" s="89" t="s">
        <v>14</v>
      </c>
      <c r="H37" s="224">
        <f t="shared" ca="1" si="18"/>
        <v>0</v>
      </c>
      <c r="I37" s="91">
        <f t="shared" ca="1" si="19"/>
        <v>0</v>
      </c>
      <c r="J37" s="91">
        <f ca="1">SQRT(H37*D37)</f>
        <v>0</v>
      </c>
      <c r="K37" s="89" t="s">
        <v>14</v>
      </c>
      <c r="L37" s="89" t="s">
        <v>14</v>
      </c>
      <c r="M37" s="89" t="s">
        <v>14</v>
      </c>
      <c r="N37" s="89" t="s">
        <v>14</v>
      </c>
      <c r="O37" s="229" t="s">
        <v>14</v>
      </c>
      <c r="P37" s="66"/>
      <c r="Q37" s="73"/>
      <c r="R37" s="44"/>
      <c r="S37" s="44"/>
      <c r="T37" s="44"/>
      <c r="U37" s="44"/>
      <c r="V37" s="44"/>
      <c r="W37" s="44"/>
      <c r="X37" s="44"/>
      <c r="Y37" s="44"/>
      <c r="Z37" s="44"/>
      <c r="AA37" s="44"/>
      <c r="AB37" s="11"/>
      <c r="AC37" s="11"/>
      <c r="AD37" s="11"/>
      <c r="AM37" s="75"/>
      <c r="AN37" s="80"/>
      <c r="AO37" s="75"/>
      <c r="AP37" s="75"/>
      <c r="AQ37" s="75"/>
      <c r="AR37" s="75"/>
      <c r="AS37" s="75"/>
      <c r="AT37" s="75"/>
    </row>
    <row r="38" spans="1:53" x14ac:dyDescent="0.2">
      <c r="A38" s="31"/>
      <c r="B38" s="502" t="s">
        <v>655</v>
      </c>
      <c r="C38" s="333"/>
      <c r="D38" s="224">
        <f t="shared" ca="1" si="15"/>
        <v>0</v>
      </c>
      <c r="E38" s="224">
        <f t="shared" ca="1" si="16"/>
        <v>0</v>
      </c>
      <c r="F38" s="224">
        <f t="shared" ca="1" si="17"/>
        <v>0</v>
      </c>
      <c r="G38" s="89" t="s">
        <v>14</v>
      </c>
      <c r="H38" s="224">
        <f t="shared" ca="1" si="18"/>
        <v>0</v>
      </c>
      <c r="I38" s="91">
        <f t="shared" ca="1" si="19"/>
        <v>0</v>
      </c>
      <c r="J38" s="91">
        <f t="shared" ca="1" si="20"/>
        <v>0</v>
      </c>
      <c r="K38" s="89" t="s">
        <v>14</v>
      </c>
      <c r="L38" s="89" t="s">
        <v>14</v>
      </c>
      <c r="M38" s="89" t="s">
        <v>14</v>
      </c>
      <c r="N38" s="89" t="s">
        <v>14</v>
      </c>
      <c r="O38" s="177" t="s">
        <v>14</v>
      </c>
      <c r="P38" s="64"/>
      <c r="Q38" s="25"/>
      <c r="R38" s="25"/>
      <c r="S38" s="25"/>
      <c r="T38" s="25"/>
      <c r="U38" s="25"/>
      <c r="V38" s="25"/>
      <c r="W38" s="25"/>
      <c r="X38" s="25"/>
      <c r="Y38" s="25"/>
      <c r="Z38" s="25"/>
      <c r="AA38" s="25"/>
      <c r="AB38" s="11"/>
      <c r="AC38" s="11"/>
      <c r="AD38" s="11"/>
      <c r="AM38" s="75"/>
      <c r="AN38" s="75"/>
      <c r="AO38" s="75"/>
      <c r="AP38" s="75"/>
      <c r="AQ38" s="75"/>
      <c r="AR38" s="75"/>
      <c r="AS38" s="75"/>
      <c r="AT38" s="75"/>
      <c r="AW38" s="31"/>
      <c r="BA38" s="28"/>
    </row>
    <row r="39" spans="1:53" ht="13.5" thickBot="1" x14ac:dyDescent="0.25">
      <c r="B39" s="502" t="s">
        <v>656</v>
      </c>
      <c r="C39" s="333"/>
      <c r="D39" s="224">
        <f t="shared" ca="1" si="15"/>
        <v>0</v>
      </c>
      <c r="E39" s="224">
        <f t="shared" ca="1" si="16"/>
        <v>0</v>
      </c>
      <c r="F39" s="224">
        <f t="shared" ca="1" si="17"/>
        <v>0</v>
      </c>
      <c r="G39" s="89" t="s">
        <v>14</v>
      </c>
      <c r="H39" s="224">
        <f t="shared" ca="1" si="18"/>
        <v>0</v>
      </c>
      <c r="I39" s="91">
        <f t="shared" ca="1" si="19"/>
        <v>0</v>
      </c>
      <c r="J39" s="91">
        <f t="shared" ca="1" si="20"/>
        <v>0</v>
      </c>
      <c r="K39" s="89" t="s">
        <v>14</v>
      </c>
      <c r="L39" s="89" t="s">
        <v>14</v>
      </c>
      <c r="M39" s="89" t="s">
        <v>14</v>
      </c>
      <c r="N39" s="89" t="s">
        <v>14</v>
      </c>
      <c r="O39" s="177" t="s">
        <v>14</v>
      </c>
      <c r="P39" s="63"/>
      <c r="Q39" s="43"/>
      <c r="R39" s="43"/>
      <c r="S39" s="43"/>
      <c r="T39" s="43"/>
      <c r="U39" s="43"/>
      <c r="V39" s="43"/>
      <c r="W39" s="43"/>
      <c r="X39" s="43"/>
      <c r="Y39" s="43"/>
      <c r="Z39" s="69"/>
      <c r="AA39" s="69"/>
      <c r="AB39" s="11"/>
      <c r="AC39" s="11"/>
      <c r="AD39" s="11"/>
    </row>
    <row r="40" spans="1:53" s="227" customFormat="1" ht="13.5" thickBot="1" x14ac:dyDescent="0.25">
      <c r="A40" s="31"/>
      <c r="B40" s="771" t="s">
        <v>617</v>
      </c>
      <c r="C40" s="771"/>
      <c r="D40" s="231">
        <f ca="1">SUM(D32:D39)</f>
        <v>0</v>
      </c>
      <c r="E40" s="231">
        <f t="shared" ref="E40" ca="1" si="21">SUM(E32:E39)</f>
        <v>0</v>
      </c>
      <c r="F40" s="231">
        <f t="shared" ref="F40" ca="1" si="22">SUM(F32:F39)</f>
        <v>0</v>
      </c>
      <c r="G40" s="244"/>
      <c r="H40" s="231"/>
      <c r="I40" s="245"/>
      <c r="J40" s="245"/>
      <c r="K40" s="244"/>
      <c r="L40" s="244"/>
      <c r="M40" s="244"/>
      <c r="N40" s="244"/>
      <c r="O40" s="246"/>
      <c r="P40" s="66"/>
      <c r="Q40" s="70"/>
      <c r="R40" s="71"/>
      <c r="S40" s="71"/>
      <c r="T40" s="34"/>
      <c r="U40" s="34"/>
      <c r="V40" s="34"/>
      <c r="W40" s="34"/>
      <c r="X40" s="34"/>
      <c r="Y40" s="34"/>
      <c r="Z40" s="34"/>
      <c r="AA40" s="34"/>
      <c r="AB40" s="11"/>
      <c r="AC40" s="11"/>
      <c r="AD40" s="11"/>
      <c r="AM40" s="80"/>
      <c r="AN40" s="80"/>
      <c r="AO40" s="75"/>
      <c r="AP40" s="75"/>
      <c r="AQ40" s="75"/>
      <c r="AR40" s="75"/>
      <c r="AS40" s="75"/>
      <c r="AT40" s="75"/>
    </row>
    <row r="41" spans="1:53" x14ac:dyDescent="0.2">
      <c r="B41" s="744" t="s">
        <v>114</v>
      </c>
      <c r="C41" s="744"/>
      <c r="D41" s="744"/>
      <c r="E41" s="744"/>
      <c r="F41" s="744"/>
      <c r="G41" s="744"/>
      <c r="H41" s="744"/>
      <c r="I41" s="744"/>
      <c r="J41" s="744"/>
      <c r="K41" s="744"/>
      <c r="L41" s="744"/>
      <c r="M41" s="744"/>
      <c r="N41" s="744"/>
      <c r="O41" s="744"/>
      <c r="P41" s="62"/>
      <c r="Q41" s="43"/>
      <c r="R41" s="43"/>
      <c r="S41" s="43"/>
      <c r="T41" s="43"/>
      <c r="U41" s="43"/>
      <c r="V41" s="43"/>
      <c r="W41" s="43"/>
      <c r="X41" s="43"/>
      <c r="Y41" s="43"/>
      <c r="Z41" s="69"/>
      <c r="AA41" s="69"/>
      <c r="AB41" s="25"/>
      <c r="AC41" s="25"/>
      <c r="AD41" s="25"/>
      <c r="AE41" s="25"/>
      <c r="AF41" s="25"/>
      <c r="AG41" s="25"/>
      <c r="AH41" s="25"/>
      <c r="AI41" s="25"/>
      <c r="AJ41" s="25"/>
      <c r="AM41" s="45"/>
      <c r="AN41" s="45"/>
      <c r="AO41" s="45"/>
      <c r="AP41" s="45"/>
      <c r="AQ41" s="45"/>
      <c r="AR41" s="25"/>
      <c r="AS41" s="25"/>
      <c r="AT41" s="25"/>
    </row>
    <row r="42" spans="1:53" x14ac:dyDescent="0.2">
      <c r="B42" s="752" t="s">
        <v>528</v>
      </c>
      <c r="C42" s="435"/>
      <c r="D42" s="435"/>
      <c r="E42" s="435"/>
      <c r="F42" s="435"/>
      <c r="G42" s="435"/>
      <c r="H42" s="435"/>
      <c r="I42" s="435"/>
      <c r="J42" s="435"/>
      <c r="K42" s="435"/>
      <c r="L42" s="435"/>
      <c r="M42" s="435"/>
      <c r="N42" s="435"/>
      <c r="O42" s="435"/>
      <c r="P42" s="62"/>
      <c r="Q42" s="43"/>
      <c r="R42" s="43"/>
      <c r="S42" s="43"/>
      <c r="T42" s="43"/>
      <c r="U42" s="43"/>
      <c r="V42" s="43"/>
      <c r="W42" s="43"/>
      <c r="X42" s="43"/>
      <c r="Y42" s="43"/>
      <c r="Z42" s="69"/>
      <c r="AA42" s="69"/>
      <c r="AB42" s="25"/>
      <c r="AC42" s="25"/>
      <c r="AD42" s="25"/>
      <c r="AE42" s="25"/>
      <c r="AF42" s="25"/>
      <c r="AG42" s="25"/>
      <c r="AH42" s="25"/>
      <c r="AI42" s="25"/>
      <c r="AJ42" s="25"/>
      <c r="AM42" s="45"/>
      <c r="AN42" s="45"/>
      <c r="AO42" s="45"/>
      <c r="AP42" s="45"/>
      <c r="AQ42" s="45"/>
      <c r="AR42" s="25"/>
      <c r="AS42" s="25"/>
      <c r="AT42" s="25"/>
    </row>
    <row r="43" spans="1:53" x14ac:dyDescent="0.2">
      <c r="A43" s="38"/>
      <c r="B43" s="502" t="s">
        <v>657</v>
      </c>
      <c r="C43" s="333"/>
      <c r="D43" s="55">
        <f ca="1">IFERROR(INDIRECT(B43 &amp; "!" &amp; "$N$51"),0)</f>
        <v>3.0507275466616073E-6</v>
      </c>
      <c r="E43" s="55">
        <f ca="1">IFERROR(INDIRECT(B43 &amp; "!" &amp; "$N$52"),0)</f>
        <v>2.2493226153007515E-6</v>
      </c>
      <c r="F43" s="55">
        <f ca="1">IFERROR(INDIRECT(B43 &amp; "!" &amp; "$N$54"),0)</f>
        <v>8.0140493136085558E-7</v>
      </c>
      <c r="G43" s="89" t="s">
        <v>14</v>
      </c>
      <c r="H43" s="92">
        <f ca="1">IFERROR(INDIRECT(B43 &amp; "!" &amp; "$F$51"),0)</f>
        <v>0.8</v>
      </c>
      <c r="I43" s="91">
        <f ca="1">+H43*D43*D43</f>
        <v>7.4455508511679609E-12</v>
      </c>
      <c r="J43" s="91">
        <f ca="1">SQRT(H43*D43)</f>
        <v>1.5622362296814417E-3</v>
      </c>
      <c r="K43" s="89" t="s">
        <v>14</v>
      </c>
      <c r="L43" s="89" t="s">
        <v>14</v>
      </c>
      <c r="M43" s="89" t="s">
        <v>14</v>
      </c>
      <c r="N43" s="89" t="s">
        <v>14</v>
      </c>
      <c r="O43" s="177" t="s">
        <v>14</v>
      </c>
      <c r="P43" s="46"/>
      <c r="Q43" s="69"/>
      <c r="R43" s="69"/>
      <c r="S43" s="69"/>
      <c r="T43" s="45"/>
      <c r="U43" s="25"/>
      <c r="V43" s="45"/>
      <c r="X43" s="45"/>
      <c r="Y43" s="25"/>
      <c r="Z43" s="45"/>
      <c r="AB43" s="62"/>
      <c r="AC43" s="62"/>
      <c r="AD43" s="62"/>
      <c r="AE43" s="62"/>
      <c r="AF43" s="62"/>
      <c r="AG43" s="62"/>
      <c r="AH43" s="62"/>
      <c r="AI43" s="62"/>
      <c r="AJ43" s="62"/>
      <c r="AM43" s="45"/>
      <c r="AN43" s="45"/>
      <c r="AO43" s="45"/>
      <c r="AP43" s="25"/>
      <c r="AQ43" s="45"/>
      <c r="AR43" s="25"/>
      <c r="AS43" s="25"/>
      <c r="AT43" s="25"/>
    </row>
    <row r="44" spans="1:53" x14ac:dyDescent="0.2">
      <c r="A44" s="90"/>
      <c r="B44" s="699" t="s">
        <v>658</v>
      </c>
      <c r="C44" s="333"/>
      <c r="D44" s="224">
        <f t="shared" ref="D44:D50" ca="1" si="23">IFERROR(INDIRECT(B44 &amp; "!" &amp; "$N$51"),0)</f>
        <v>0</v>
      </c>
      <c r="E44" s="224">
        <f t="shared" ref="E44:E50" ca="1" si="24">IFERROR(INDIRECT(B44 &amp; "!" &amp; "$N$52"),0)</f>
        <v>0</v>
      </c>
      <c r="F44" s="224">
        <f t="shared" ref="F44:F50" ca="1" si="25">IFERROR(INDIRECT(B44 &amp; "!" &amp; "$N$54"),0)</f>
        <v>0</v>
      </c>
      <c r="G44" s="89" t="s">
        <v>14</v>
      </c>
      <c r="H44" s="92">
        <f t="shared" ref="H44:H50" ca="1" si="26">IFERROR(INDIRECT(B44 &amp; "!" &amp; "$F$51"),0)</f>
        <v>0</v>
      </c>
      <c r="I44" s="91">
        <f t="shared" ref="I44:I50" ca="1" si="27">+H44*D44*D44</f>
        <v>0</v>
      </c>
      <c r="J44" s="91">
        <f t="shared" ref="J44:J50" ca="1" si="28">SQRT(H44*D44)</f>
        <v>0</v>
      </c>
      <c r="K44" s="89" t="s">
        <v>14</v>
      </c>
      <c r="L44" s="89" t="s">
        <v>14</v>
      </c>
      <c r="M44" s="89" t="s">
        <v>14</v>
      </c>
      <c r="N44" s="89" t="s">
        <v>14</v>
      </c>
      <c r="O44" s="229" t="s">
        <v>14</v>
      </c>
      <c r="Q44" s="39"/>
      <c r="R44" s="25"/>
      <c r="S44" s="25"/>
      <c r="T44" s="25"/>
      <c r="U44" s="25"/>
      <c r="X44" s="25"/>
      <c r="Y44" s="25"/>
      <c r="AB44" s="43"/>
      <c r="AC44" s="43"/>
      <c r="AD44" s="43"/>
      <c r="AE44" s="43"/>
      <c r="AF44" s="43"/>
      <c r="AG44" s="43"/>
      <c r="AH44" s="43"/>
      <c r="AI44" s="43"/>
      <c r="AJ44" s="43"/>
      <c r="AM44" s="45"/>
      <c r="AN44" s="45"/>
      <c r="AO44" s="25"/>
      <c r="AP44" s="25"/>
      <c r="AQ44" s="25"/>
      <c r="AR44" s="25"/>
      <c r="AS44" s="25"/>
      <c r="AT44" s="25"/>
    </row>
    <row r="45" spans="1:53" s="227" customFormat="1" x14ac:dyDescent="0.2">
      <c r="A45" s="90"/>
      <c r="B45" s="502" t="s">
        <v>659</v>
      </c>
      <c r="C45" s="333"/>
      <c r="D45" s="224">
        <f t="shared" ca="1" si="23"/>
        <v>0</v>
      </c>
      <c r="E45" s="224">
        <f t="shared" ca="1" si="24"/>
        <v>0</v>
      </c>
      <c r="F45" s="224">
        <f t="shared" ca="1" si="25"/>
        <v>0</v>
      </c>
      <c r="G45" s="89" t="s">
        <v>14</v>
      </c>
      <c r="H45" s="92">
        <f t="shared" ca="1" si="26"/>
        <v>0</v>
      </c>
      <c r="I45" s="91">
        <f t="shared" ca="1" si="27"/>
        <v>0</v>
      </c>
      <c r="J45" s="91">
        <f t="shared" ca="1" si="28"/>
        <v>0</v>
      </c>
      <c r="K45" s="89" t="s">
        <v>14</v>
      </c>
      <c r="L45" s="89" t="s">
        <v>14</v>
      </c>
      <c r="M45" s="89" t="s">
        <v>14</v>
      </c>
      <c r="N45" s="89" t="s">
        <v>14</v>
      </c>
      <c r="O45" s="229" t="s">
        <v>14</v>
      </c>
      <c r="Q45" s="39"/>
      <c r="R45" s="25"/>
      <c r="S45" s="25"/>
      <c r="T45" s="25"/>
      <c r="U45" s="25"/>
      <c r="X45" s="25"/>
      <c r="Y45" s="25"/>
      <c r="AB45" s="43"/>
      <c r="AC45" s="43"/>
      <c r="AD45" s="43"/>
      <c r="AE45" s="43"/>
      <c r="AF45" s="43"/>
      <c r="AG45" s="43"/>
      <c r="AH45" s="43"/>
      <c r="AI45" s="43"/>
      <c r="AJ45" s="43"/>
      <c r="AM45" s="226"/>
      <c r="AN45" s="226"/>
      <c r="AO45" s="25"/>
      <c r="AP45" s="25"/>
      <c r="AQ45" s="25"/>
      <c r="AR45" s="25"/>
      <c r="AS45" s="25"/>
      <c r="AT45" s="25"/>
    </row>
    <row r="46" spans="1:53" s="227" customFormat="1" x14ac:dyDescent="0.2">
      <c r="A46" s="90"/>
      <c r="B46" s="699" t="s">
        <v>660</v>
      </c>
      <c r="C46" s="333"/>
      <c r="D46" s="224">
        <f t="shared" ca="1" si="23"/>
        <v>0</v>
      </c>
      <c r="E46" s="224">
        <f t="shared" ca="1" si="24"/>
        <v>0</v>
      </c>
      <c r="F46" s="224">
        <f t="shared" ca="1" si="25"/>
        <v>0</v>
      </c>
      <c r="G46" s="89" t="s">
        <v>14</v>
      </c>
      <c r="H46" s="92">
        <f t="shared" ca="1" si="26"/>
        <v>0</v>
      </c>
      <c r="I46" s="91">
        <f t="shared" ca="1" si="27"/>
        <v>0</v>
      </c>
      <c r="J46" s="91">
        <f t="shared" ca="1" si="28"/>
        <v>0</v>
      </c>
      <c r="K46" s="89" t="s">
        <v>14</v>
      </c>
      <c r="L46" s="89" t="s">
        <v>14</v>
      </c>
      <c r="M46" s="89" t="s">
        <v>14</v>
      </c>
      <c r="N46" s="89" t="s">
        <v>14</v>
      </c>
      <c r="O46" s="229" t="s">
        <v>14</v>
      </c>
      <c r="Q46" s="39"/>
      <c r="R46" s="25"/>
      <c r="S46" s="25"/>
      <c r="T46" s="25"/>
      <c r="U46" s="25"/>
      <c r="X46" s="25"/>
      <c r="Y46" s="25"/>
      <c r="AB46" s="43"/>
      <c r="AC46" s="43"/>
      <c r="AD46" s="43"/>
      <c r="AE46" s="43"/>
      <c r="AF46" s="43"/>
      <c r="AG46" s="43"/>
      <c r="AH46" s="43"/>
      <c r="AI46" s="43"/>
      <c r="AJ46" s="43"/>
      <c r="AM46" s="226"/>
      <c r="AN46" s="226"/>
      <c r="AO46" s="25"/>
      <c r="AP46" s="25"/>
      <c r="AQ46" s="25"/>
      <c r="AR46" s="25"/>
      <c r="AS46" s="25"/>
      <c r="AT46" s="25"/>
    </row>
    <row r="47" spans="1:53" s="227" customFormat="1" x14ac:dyDescent="0.2">
      <c r="A47" s="90"/>
      <c r="B47" s="502" t="s">
        <v>661</v>
      </c>
      <c r="C47" s="333"/>
      <c r="D47" s="224">
        <f t="shared" ca="1" si="23"/>
        <v>0</v>
      </c>
      <c r="E47" s="224">
        <f t="shared" ca="1" si="24"/>
        <v>0</v>
      </c>
      <c r="F47" s="224">
        <f t="shared" ca="1" si="25"/>
        <v>0</v>
      </c>
      <c r="G47" s="89" t="s">
        <v>14</v>
      </c>
      <c r="H47" s="92">
        <f t="shared" ca="1" si="26"/>
        <v>0</v>
      </c>
      <c r="I47" s="91">
        <f t="shared" ca="1" si="27"/>
        <v>0</v>
      </c>
      <c r="J47" s="91">
        <f t="shared" ca="1" si="28"/>
        <v>0</v>
      </c>
      <c r="K47" s="89" t="s">
        <v>14</v>
      </c>
      <c r="L47" s="89" t="s">
        <v>14</v>
      </c>
      <c r="M47" s="89" t="s">
        <v>14</v>
      </c>
      <c r="N47" s="89" t="s">
        <v>14</v>
      </c>
      <c r="O47" s="229" t="s">
        <v>14</v>
      </c>
      <c r="Q47" s="39"/>
      <c r="R47" s="25"/>
      <c r="S47" s="25"/>
      <c r="T47" s="25"/>
      <c r="U47" s="25"/>
      <c r="X47" s="25"/>
      <c r="Y47" s="25"/>
      <c r="AB47" s="43"/>
      <c r="AC47" s="43"/>
      <c r="AD47" s="43"/>
      <c r="AE47" s="43"/>
      <c r="AF47" s="43"/>
      <c r="AG47" s="43"/>
      <c r="AH47" s="43"/>
      <c r="AI47" s="43"/>
      <c r="AJ47" s="43"/>
      <c r="AM47" s="226"/>
      <c r="AN47" s="226"/>
      <c r="AO47" s="25"/>
      <c r="AP47" s="25"/>
      <c r="AQ47" s="25"/>
      <c r="AR47" s="25"/>
      <c r="AS47" s="25"/>
      <c r="AT47" s="25"/>
    </row>
    <row r="48" spans="1:53" s="227" customFormat="1" x14ac:dyDescent="0.2">
      <c r="A48" s="90"/>
      <c r="B48" s="699" t="s">
        <v>662</v>
      </c>
      <c r="C48" s="333"/>
      <c r="D48" s="224">
        <f t="shared" ca="1" si="23"/>
        <v>0</v>
      </c>
      <c r="E48" s="224">
        <f t="shared" ca="1" si="24"/>
        <v>0</v>
      </c>
      <c r="F48" s="224">
        <f t="shared" ca="1" si="25"/>
        <v>0</v>
      </c>
      <c r="G48" s="89" t="s">
        <v>14</v>
      </c>
      <c r="H48" s="92">
        <f t="shared" ca="1" si="26"/>
        <v>0</v>
      </c>
      <c r="I48" s="91">
        <f t="shared" ca="1" si="27"/>
        <v>0</v>
      </c>
      <c r="J48" s="91">
        <f ca="1">SQRT(H48*D48)</f>
        <v>0</v>
      </c>
      <c r="K48" s="89" t="s">
        <v>14</v>
      </c>
      <c r="L48" s="89" t="s">
        <v>14</v>
      </c>
      <c r="M48" s="89" t="s">
        <v>14</v>
      </c>
      <c r="N48" s="89" t="s">
        <v>14</v>
      </c>
      <c r="O48" s="229" t="s">
        <v>14</v>
      </c>
      <c r="Q48" s="39"/>
      <c r="R48" s="25"/>
      <c r="S48" s="25"/>
      <c r="T48" s="25"/>
      <c r="U48" s="25"/>
      <c r="X48" s="25"/>
      <c r="Y48" s="25"/>
      <c r="AB48" s="43"/>
      <c r="AC48" s="43"/>
      <c r="AD48" s="43"/>
      <c r="AE48" s="43"/>
      <c r="AF48" s="43"/>
      <c r="AG48" s="43"/>
      <c r="AH48" s="43"/>
      <c r="AI48" s="43"/>
      <c r="AJ48" s="43"/>
      <c r="AM48" s="226"/>
      <c r="AN48" s="226"/>
      <c r="AO48" s="25"/>
      <c r="AP48" s="25"/>
      <c r="AQ48" s="25"/>
      <c r="AR48" s="25"/>
      <c r="AS48" s="25"/>
      <c r="AT48" s="25"/>
    </row>
    <row r="49" spans="1:46" x14ac:dyDescent="0.2">
      <c r="A49" s="69"/>
      <c r="B49" s="502" t="s">
        <v>663</v>
      </c>
      <c r="C49" s="333"/>
      <c r="D49" s="224">
        <f t="shared" ca="1" si="23"/>
        <v>0</v>
      </c>
      <c r="E49" s="224">
        <f t="shared" ca="1" si="24"/>
        <v>0</v>
      </c>
      <c r="F49" s="224">
        <f t="shared" ca="1" si="25"/>
        <v>0</v>
      </c>
      <c r="G49" s="89" t="s">
        <v>14</v>
      </c>
      <c r="H49" s="92">
        <f t="shared" ca="1" si="26"/>
        <v>0</v>
      </c>
      <c r="I49" s="91">
        <f t="shared" ca="1" si="27"/>
        <v>0</v>
      </c>
      <c r="J49" s="91">
        <f t="shared" ca="1" si="28"/>
        <v>0</v>
      </c>
      <c r="K49" s="89" t="s">
        <v>14</v>
      </c>
      <c r="L49" s="89" t="s">
        <v>14</v>
      </c>
      <c r="M49" s="89" t="s">
        <v>14</v>
      </c>
      <c r="N49" s="89" t="s">
        <v>14</v>
      </c>
      <c r="O49" s="229" t="s">
        <v>14</v>
      </c>
      <c r="Q49" s="69"/>
      <c r="AB49" s="43"/>
      <c r="AC49" s="43"/>
      <c r="AD49" s="43"/>
      <c r="AE49" s="43"/>
      <c r="AF49" s="43"/>
      <c r="AG49" s="43"/>
      <c r="AH49" s="43"/>
      <c r="AI49" s="43"/>
      <c r="AJ49" s="43"/>
      <c r="AM49" s="25"/>
      <c r="AN49" s="25"/>
      <c r="AO49" s="25"/>
      <c r="AP49" s="25"/>
      <c r="AQ49" s="84"/>
      <c r="AR49" s="84"/>
      <c r="AS49" s="84"/>
      <c r="AT49" s="84"/>
    </row>
    <row r="50" spans="1:46" ht="13.5" thickBot="1" x14ac:dyDescent="0.25">
      <c r="A50" s="69"/>
      <c r="B50" s="699" t="s">
        <v>664</v>
      </c>
      <c r="C50" s="333"/>
      <c r="D50" s="224">
        <f t="shared" ca="1" si="23"/>
        <v>0</v>
      </c>
      <c r="E50" s="224">
        <f t="shared" ca="1" si="24"/>
        <v>0</v>
      </c>
      <c r="F50" s="224">
        <f t="shared" ca="1" si="25"/>
        <v>0</v>
      </c>
      <c r="G50" s="89" t="s">
        <v>14</v>
      </c>
      <c r="H50" s="92">
        <f t="shared" ca="1" si="26"/>
        <v>0</v>
      </c>
      <c r="I50" s="91">
        <f t="shared" ca="1" si="27"/>
        <v>0</v>
      </c>
      <c r="J50" s="91">
        <f t="shared" ca="1" si="28"/>
        <v>0</v>
      </c>
      <c r="K50" s="89" t="s">
        <v>14</v>
      </c>
      <c r="L50" s="89" t="s">
        <v>14</v>
      </c>
      <c r="M50" s="89" t="s">
        <v>14</v>
      </c>
      <c r="N50" s="89" t="s">
        <v>14</v>
      </c>
      <c r="O50" s="177" t="s">
        <v>14</v>
      </c>
      <c r="T50" s="40"/>
      <c r="U50" s="40"/>
      <c r="V50" s="40"/>
      <c r="W50" s="37"/>
      <c r="X50" s="40"/>
      <c r="Y50" s="40"/>
      <c r="Z50" s="40"/>
      <c r="AA50" s="37"/>
      <c r="AB50" s="67"/>
      <c r="AC50" s="67"/>
      <c r="AD50" s="67"/>
      <c r="AE50" s="67"/>
      <c r="AF50" s="67"/>
      <c r="AG50" s="67"/>
      <c r="AH50" s="67"/>
      <c r="AI50" s="67"/>
      <c r="AJ50" s="67"/>
      <c r="AM50" s="25"/>
      <c r="AN50" s="25"/>
      <c r="AO50" s="25"/>
      <c r="AP50" s="25"/>
      <c r="AQ50" s="85"/>
      <c r="AR50" s="85"/>
      <c r="AS50" s="85"/>
      <c r="AT50" s="85"/>
    </row>
    <row r="51" spans="1:46" s="227" customFormat="1" ht="13.5" thickBot="1" x14ac:dyDescent="0.25">
      <c r="A51" s="31"/>
      <c r="B51" s="771" t="s">
        <v>618</v>
      </c>
      <c r="C51" s="771"/>
      <c r="D51" s="231">
        <f ca="1">SUM(D43:D50)</f>
        <v>3.0507275466616073E-6</v>
      </c>
      <c r="E51" s="231">
        <f t="shared" ref="E51" ca="1" si="29">SUM(E43:E50)</f>
        <v>2.2493226153007515E-6</v>
      </c>
      <c r="F51" s="231">
        <f t="shared" ref="F51" ca="1" si="30">SUM(F43:F50)</f>
        <v>8.0140493136085558E-7</v>
      </c>
      <c r="G51" s="244"/>
      <c r="H51" s="231"/>
      <c r="I51" s="245"/>
      <c r="J51" s="245"/>
      <c r="K51" s="244"/>
      <c r="L51" s="244"/>
      <c r="M51" s="244"/>
      <c r="N51" s="244"/>
      <c r="O51" s="246"/>
      <c r="P51" s="66"/>
      <c r="Q51" s="70"/>
      <c r="R51" s="71"/>
      <c r="S51" s="71"/>
      <c r="T51" s="34"/>
      <c r="U51" s="34"/>
      <c r="V51" s="34"/>
      <c r="W51" s="34"/>
      <c r="X51" s="34"/>
      <c r="Y51" s="34"/>
      <c r="Z51" s="34"/>
      <c r="AA51" s="34"/>
      <c r="AB51" s="11"/>
      <c r="AC51" s="11"/>
      <c r="AD51" s="11"/>
      <c r="AM51" s="80"/>
      <c r="AN51" s="80"/>
      <c r="AO51" s="75"/>
      <c r="AP51" s="75"/>
      <c r="AQ51" s="75"/>
      <c r="AR51" s="75"/>
      <c r="AS51" s="75"/>
      <c r="AT51" s="75"/>
    </row>
    <row r="52" spans="1:46" x14ac:dyDescent="0.2">
      <c r="A52" s="69"/>
      <c r="B52" s="752" t="s">
        <v>525</v>
      </c>
      <c r="C52" s="435"/>
      <c r="D52" s="435"/>
      <c r="E52" s="435"/>
      <c r="F52" s="435"/>
      <c r="G52" s="435"/>
      <c r="H52" s="435"/>
      <c r="I52" s="435"/>
      <c r="J52" s="435"/>
      <c r="K52" s="435"/>
      <c r="L52" s="435"/>
      <c r="M52" s="435"/>
      <c r="N52" s="435"/>
      <c r="O52" s="435"/>
      <c r="T52" s="40"/>
      <c r="U52" s="40"/>
      <c r="V52" s="40"/>
      <c r="W52" s="37"/>
      <c r="X52" s="40"/>
      <c r="Y52" s="40"/>
      <c r="Z52" s="40"/>
      <c r="AA52" s="37"/>
      <c r="AB52" s="67"/>
      <c r="AC52" s="67"/>
      <c r="AD52" s="67"/>
      <c r="AE52" s="67"/>
      <c r="AF52" s="67"/>
      <c r="AG52" s="67"/>
      <c r="AH52" s="67"/>
      <c r="AI52" s="67"/>
      <c r="AJ52" s="67"/>
      <c r="AM52" s="25"/>
      <c r="AN52" s="25"/>
      <c r="AO52" s="25"/>
      <c r="AP52" s="25"/>
      <c r="AQ52" s="85"/>
      <c r="AR52" s="85"/>
      <c r="AS52" s="85"/>
      <c r="AT52" s="85"/>
    </row>
    <row r="53" spans="1:46" x14ac:dyDescent="0.2">
      <c r="A53" s="58"/>
      <c r="B53" s="502" t="s">
        <v>657</v>
      </c>
      <c r="C53" s="333"/>
      <c r="D53" s="55">
        <f ca="1">IFERROR(INDIRECT(B53 &amp; "!" &amp; "$N$83"),0)</f>
        <v>2.5057011969865394E-3</v>
      </c>
      <c r="E53" s="55">
        <f ca="1">IFERROR(INDIRECT(B53 &amp; "!" &amp; "$N$84"),0)</f>
        <v>1.4482164165947487E-3</v>
      </c>
      <c r="F53" s="55">
        <f ca="1">IFERROR(INDIRECT(B53 &amp; "!" &amp; "$N$86"),0)</f>
        <v>1.0574847803917907E-3</v>
      </c>
      <c r="G53" s="89" t="s">
        <v>14</v>
      </c>
      <c r="H53" s="55">
        <f ca="1">IFERROR(INDIRECT(B53 &amp; "!" &amp; "$F$83"),0)</f>
        <v>1.1399999999999999</v>
      </c>
      <c r="I53" s="91">
        <f ca="1">+H53*D53*D53</f>
        <v>7.1575338769809448E-6</v>
      </c>
      <c r="J53" s="91">
        <f ca="1">SQRT(H53*D53)</f>
        <v>5.3446228721628755E-2</v>
      </c>
      <c r="K53" s="89" t="s">
        <v>14</v>
      </c>
      <c r="L53" s="89" t="s">
        <v>14</v>
      </c>
      <c r="M53" s="89" t="s">
        <v>14</v>
      </c>
      <c r="N53" s="89" t="s">
        <v>14</v>
      </c>
      <c r="O53" s="177" t="s">
        <v>14</v>
      </c>
      <c r="P53" s="47"/>
      <c r="T53" s="37"/>
      <c r="U53" s="37"/>
      <c r="V53" s="37"/>
      <c r="W53" s="37"/>
      <c r="X53" s="37"/>
      <c r="Y53" s="37"/>
      <c r="Z53" s="37"/>
      <c r="AA53" s="37"/>
      <c r="AB53" s="68"/>
      <c r="AC53" s="68"/>
      <c r="AD53" s="68"/>
      <c r="AE53" s="68"/>
      <c r="AF53" s="68"/>
      <c r="AG53" s="68"/>
      <c r="AH53" s="68"/>
      <c r="AI53" s="68"/>
      <c r="AJ53" s="68"/>
      <c r="AM53" s="39"/>
      <c r="AN53" s="25"/>
      <c r="AO53" s="52"/>
      <c r="AP53" s="25"/>
      <c r="AQ53" s="83"/>
      <c r="AR53" s="83"/>
      <c r="AS53" s="86"/>
      <c r="AT53" s="86"/>
    </row>
    <row r="54" spans="1:46" x14ac:dyDescent="0.2">
      <c r="A54" s="58"/>
      <c r="B54" s="699" t="s">
        <v>658</v>
      </c>
      <c r="C54" s="333"/>
      <c r="D54" s="224">
        <f t="shared" ref="D54:D60" ca="1" si="31">IFERROR(INDIRECT(B54 &amp; "!" &amp; "$N$83"),0)</f>
        <v>0</v>
      </c>
      <c r="E54" s="224">
        <f t="shared" ref="E54:E60" ca="1" si="32">IFERROR(INDIRECT(B54 &amp; "!" &amp; "$N$84"),0)</f>
        <v>0</v>
      </c>
      <c r="F54" s="224">
        <f t="shared" ref="F54:F60" ca="1" si="33">IFERROR(INDIRECT(B54 &amp; "!" &amp; "$N$86"),0)</f>
        <v>0</v>
      </c>
      <c r="G54" s="89" t="s">
        <v>14</v>
      </c>
      <c r="H54" s="224">
        <f t="shared" ref="H54:H60" ca="1" si="34">IFERROR(INDIRECT(B54 &amp; "!" &amp; "$F$83"),0)</f>
        <v>0</v>
      </c>
      <c r="I54" s="91">
        <f t="shared" ref="I54:I59" ca="1" si="35">+H54*D54*D54</f>
        <v>0</v>
      </c>
      <c r="J54" s="91">
        <f t="shared" ref="J54:J59" ca="1" si="36">SQRT(H54*D54)</f>
        <v>0</v>
      </c>
      <c r="K54" s="89" t="s">
        <v>14</v>
      </c>
      <c r="L54" s="89" t="s">
        <v>14</v>
      </c>
      <c r="M54" s="89" t="s">
        <v>14</v>
      </c>
      <c r="N54" s="89" t="s">
        <v>14</v>
      </c>
      <c r="O54" s="229" t="s">
        <v>14</v>
      </c>
      <c r="P54" s="45"/>
      <c r="Q54" s="70"/>
      <c r="R54" s="25"/>
      <c r="S54" s="25"/>
      <c r="T54" s="72"/>
      <c r="U54" s="72"/>
      <c r="V54" s="72"/>
      <c r="W54" s="25"/>
      <c r="X54" s="34"/>
      <c r="Y54" s="34"/>
      <c r="Z54" s="34"/>
      <c r="AA54" s="34"/>
      <c r="AB54" s="45"/>
      <c r="AC54" s="25"/>
      <c r="AD54" s="25"/>
      <c r="AE54" s="25"/>
      <c r="AF54" s="25"/>
      <c r="AG54" s="25"/>
      <c r="AH54" s="25"/>
      <c r="AI54" s="25"/>
      <c r="AJ54" s="25"/>
      <c r="AM54" s="25"/>
      <c r="AN54" s="25"/>
      <c r="AO54" s="25"/>
      <c r="AP54" s="25"/>
      <c r="AQ54" s="83"/>
      <c r="AR54" s="83"/>
      <c r="AS54" s="83"/>
      <c r="AT54" s="83"/>
    </row>
    <row r="55" spans="1:46" s="227" customFormat="1" x14ac:dyDescent="0.2">
      <c r="A55" s="58"/>
      <c r="B55" s="502" t="s">
        <v>659</v>
      </c>
      <c r="C55" s="333"/>
      <c r="D55" s="224">
        <f t="shared" ca="1" si="31"/>
        <v>0</v>
      </c>
      <c r="E55" s="224">
        <f t="shared" ca="1" si="32"/>
        <v>0</v>
      </c>
      <c r="F55" s="224">
        <f t="shared" ca="1" si="33"/>
        <v>0</v>
      </c>
      <c r="G55" s="89" t="s">
        <v>14</v>
      </c>
      <c r="H55" s="224">
        <f t="shared" ca="1" si="34"/>
        <v>0</v>
      </c>
      <c r="I55" s="91">
        <f t="shared" ca="1" si="35"/>
        <v>0</v>
      </c>
      <c r="J55" s="91">
        <f t="shared" ca="1" si="36"/>
        <v>0</v>
      </c>
      <c r="K55" s="89" t="s">
        <v>14</v>
      </c>
      <c r="L55" s="89" t="s">
        <v>14</v>
      </c>
      <c r="M55" s="89" t="s">
        <v>14</v>
      </c>
      <c r="N55" s="89" t="s">
        <v>14</v>
      </c>
      <c r="O55" s="229" t="s">
        <v>14</v>
      </c>
      <c r="P55" s="226"/>
      <c r="Q55" s="70"/>
      <c r="R55" s="25"/>
      <c r="S55" s="25"/>
      <c r="T55" s="72"/>
      <c r="U55" s="72"/>
      <c r="V55" s="72"/>
      <c r="W55" s="25"/>
      <c r="X55" s="34"/>
      <c r="Y55" s="34"/>
      <c r="Z55" s="34"/>
      <c r="AA55" s="34"/>
      <c r="AB55" s="226"/>
      <c r="AC55" s="25"/>
      <c r="AD55" s="25"/>
      <c r="AE55" s="25"/>
      <c r="AF55" s="25"/>
      <c r="AG55" s="25"/>
      <c r="AH55" s="25"/>
      <c r="AI55" s="25"/>
      <c r="AJ55" s="25"/>
      <c r="AM55" s="25"/>
      <c r="AN55" s="25"/>
      <c r="AO55" s="25"/>
      <c r="AP55" s="25"/>
      <c r="AQ55" s="83"/>
      <c r="AR55" s="83"/>
      <c r="AS55" s="83"/>
      <c r="AT55" s="83"/>
    </row>
    <row r="56" spans="1:46" s="227" customFormat="1" x14ac:dyDescent="0.2">
      <c r="A56" s="58"/>
      <c r="B56" s="699" t="s">
        <v>660</v>
      </c>
      <c r="C56" s="333"/>
      <c r="D56" s="224">
        <f t="shared" ca="1" si="31"/>
        <v>0</v>
      </c>
      <c r="E56" s="224">
        <f t="shared" ca="1" si="32"/>
        <v>0</v>
      </c>
      <c r="F56" s="224">
        <f t="shared" ca="1" si="33"/>
        <v>0</v>
      </c>
      <c r="G56" s="89" t="s">
        <v>14</v>
      </c>
      <c r="H56" s="224">
        <f t="shared" ca="1" si="34"/>
        <v>0</v>
      </c>
      <c r="I56" s="91">
        <f t="shared" ca="1" si="35"/>
        <v>0</v>
      </c>
      <c r="J56" s="91">
        <f t="shared" ca="1" si="36"/>
        <v>0</v>
      </c>
      <c r="K56" s="89" t="s">
        <v>14</v>
      </c>
      <c r="L56" s="89" t="s">
        <v>14</v>
      </c>
      <c r="M56" s="89" t="s">
        <v>14</v>
      </c>
      <c r="N56" s="89" t="s">
        <v>14</v>
      </c>
      <c r="O56" s="229" t="s">
        <v>14</v>
      </c>
      <c r="P56" s="226"/>
      <c r="Q56" s="70"/>
      <c r="R56" s="25"/>
      <c r="S56" s="25"/>
      <c r="T56" s="72"/>
      <c r="U56" s="72"/>
      <c r="V56" s="72"/>
      <c r="W56" s="25"/>
      <c r="X56" s="34"/>
      <c r="Y56" s="34"/>
      <c r="Z56" s="34"/>
      <c r="AA56" s="34"/>
      <c r="AB56" s="226"/>
      <c r="AC56" s="25"/>
      <c r="AD56" s="25"/>
      <c r="AE56" s="25"/>
      <c r="AF56" s="25"/>
      <c r="AG56" s="25"/>
      <c r="AH56" s="25"/>
      <c r="AI56" s="25"/>
      <c r="AJ56" s="25"/>
      <c r="AM56" s="25"/>
      <c r="AN56" s="25"/>
      <c r="AO56" s="25"/>
      <c r="AP56" s="25"/>
      <c r="AQ56" s="83"/>
      <c r="AR56" s="83"/>
      <c r="AS56" s="83"/>
      <c r="AT56" s="83"/>
    </row>
    <row r="57" spans="1:46" s="227" customFormat="1" x14ac:dyDescent="0.2">
      <c r="A57" s="58"/>
      <c r="B57" s="502" t="s">
        <v>661</v>
      </c>
      <c r="C57" s="333"/>
      <c r="D57" s="224">
        <f t="shared" ca="1" si="31"/>
        <v>0</v>
      </c>
      <c r="E57" s="224">
        <f t="shared" ca="1" si="32"/>
        <v>0</v>
      </c>
      <c r="F57" s="224">
        <f t="shared" ca="1" si="33"/>
        <v>0</v>
      </c>
      <c r="G57" s="89" t="s">
        <v>14</v>
      </c>
      <c r="H57" s="224">
        <f t="shared" ca="1" si="34"/>
        <v>0</v>
      </c>
      <c r="I57" s="91">
        <f t="shared" ca="1" si="35"/>
        <v>0</v>
      </c>
      <c r="J57" s="91">
        <f t="shared" ca="1" si="36"/>
        <v>0</v>
      </c>
      <c r="K57" s="89" t="s">
        <v>14</v>
      </c>
      <c r="L57" s="89" t="s">
        <v>14</v>
      </c>
      <c r="M57" s="89" t="s">
        <v>14</v>
      </c>
      <c r="N57" s="89" t="s">
        <v>14</v>
      </c>
      <c r="O57" s="229" t="s">
        <v>14</v>
      </c>
      <c r="P57" s="226"/>
      <c r="Q57" s="70"/>
      <c r="R57" s="25"/>
      <c r="S57" s="25"/>
      <c r="T57" s="72"/>
      <c r="U57" s="72"/>
      <c r="V57" s="72"/>
      <c r="W57" s="25"/>
      <c r="X57" s="34"/>
      <c r="Y57" s="34"/>
      <c r="Z57" s="34"/>
      <c r="AA57" s="34"/>
      <c r="AB57" s="226"/>
      <c r="AC57" s="25"/>
      <c r="AD57" s="25"/>
      <c r="AE57" s="25"/>
      <c r="AF57" s="25"/>
      <c r="AG57" s="25"/>
      <c r="AH57" s="25"/>
      <c r="AI57" s="25"/>
      <c r="AJ57" s="25"/>
      <c r="AM57" s="25"/>
      <c r="AN57" s="25"/>
      <c r="AO57" s="25"/>
      <c r="AP57" s="25"/>
      <c r="AQ57" s="83"/>
      <c r="AR57" s="83"/>
      <c r="AS57" s="83"/>
      <c r="AT57" s="83"/>
    </row>
    <row r="58" spans="1:46" s="227" customFormat="1" x14ac:dyDescent="0.2">
      <c r="A58" s="58"/>
      <c r="B58" s="699" t="s">
        <v>662</v>
      </c>
      <c r="C58" s="333"/>
      <c r="D58" s="224">
        <f t="shared" ca="1" si="31"/>
        <v>0</v>
      </c>
      <c r="E58" s="224">
        <f t="shared" ca="1" si="32"/>
        <v>0</v>
      </c>
      <c r="F58" s="224">
        <f t="shared" ca="1" si="33"/>
        <v>0</v>
      </c>
      <c r="G58" s="89" t="s">
        <v>14</v>
      </c>
      <c r="H58" s="224">
        <f t="shared" ca="1" si="34"/>
        <v>0</v>
      </c>
      <c r="I58" s="91">
        <f t="shared" ca="1" si="35"/>
        <v>0</v>
      </c>
      <c r="J58" s="91">
        <f t="shared" ca="1" si="36"/>
        <v>0</v>
      </c>
      <c r="K58" s="89" t="s">
        <v>14</v>
      </c>
      <c r="L58" s="89" t="s">
        <v>14</v>
      </c>
      <c r="M58" s="89" t="s">
        <v>14</v>
      </c>
      <c r="N58" s="89" t="s">
        <v>14</v>
      </c>
      <c r="O58" s="229" t="s">
        <v>14</v>
      </c>
      <c r="P58" s="226"/>
      <c r="Q58" s="70"/>
      <c r="R58" s="25"/>
      <c r="S58" s="25"/>
      <c r="T58" s="72"/>
      <c r="U58" s="72"/>
      <c r="V58" s="72"/>
      <c r="W58" s="25"/>
      <c r="X58" s="34"/>
      <c r="Y58" s="34"/>
      <c r="Z58" s="34"/>
      <c r="AA58" s="34"/>
      <c r="AB58" s="226"/>
      <c r="AC58" s="25"/>
      <c r="AD58" s="25"/>
      <c r="AE58" s="25"/>
      <c r="AF58" s="25"/>
      <c r="AG58" s="25"/>
      <c r="AH58" s="25"/>
      <c r="AI58" s="25"/>
      <c r="AJ58" s="25"/>
      <c r="AM58" s="25"/>
      <c r="AN58" s="25"/>
      <c r="AO58" s="25"/>
      <c r="AP58" s="25"/>
      <c r="AQ58" s="83"/>
      <c r="AR58" s="83"/>
      <c r="AS58" s="83"/>
      <c r="AT58" s="83"/>
    </row>
    <row r="59" spans="1:46" x14ac:dyDescent="0.2">
      <c r="A59" s="28"/>
      <c r="B59" s="502" t="s">
        <v>663</v>
      </c>
      <c r="C59" s="333"/>
      <c r="D59" s="224">
        <f t="shared" ca="1" si="31"/>
        <v>0</v>
      </c>
      <c r="E59" s="224">
        <f t="shared" ca="1" si="32"/>
        <v>0</v>
      </c>
      <c r="F59" s="224">
        <f t="shared" ca="1" si="33"/>
        <v>0</v>
      </c>
      <c r="G59" s="89" t="s">
        <v>14</v>
      </c>
      <c r="H59" s="224">
        <f t="shared" ca="1" si="34"/>
        <v>0</v>
      </c>
      <c r="I59" s="91">
        <f t="shared" ca="1" si="35"/>
        <v>0</v>
      </c>
      <c r="J59" s="91">
        <f t="shared" ca="1" si="36"/>
        <v>0</v>
      </c>
      <c r="K59" s="89" t="s">
        <v>14</v>
      </c>
      <c r="L59" s="89" t="s">
        <v>14</v>
      </c>
      <c r="M59" s="89" t="s">
        <v>14</v>
      </c>
      <c r="N59" s="89" t="s">
        <v>14</v>
      </c>
      <c r="O59" s="177" t="s">
        <v>14</v>
      </c>
      <c r="P59" s="45"/>
      <c r="Q59" s="70"/>
      <c r="R59" s="25"/>
      <c r="S59" s="25"/>
      <c r="T59" s="72"/>
      <c r="U59" s="72"/>
      <c r="V59" s="72"/>
      <c r="W59" s="25"/>
      <c r="X59" s="34"/>
      <c r="Y59" s="34"/>
      <c r="Z59" s="34"/>
      <c r="AA59" s="34"/>
      <c r="AB59" s="45"/>
      <c r="AC59" s="25"/>
      <c r="AD59" s="25"/>
      <c r="AE59" s="25"/>
      <c r="AF59" s="25"/>
      <c r="AG59" s="25"/>
      <c r="AH59" s="25"/>
      <c r="AI59" s="25"/>
      <c r="AJ59" s="25"/>
      <c r="AM59" s="25"/>
      <c r="AN59" s="25"/>
      <c r="AO59" s="25"/>
      <c r="AP59" s="25"/>
      <c r="AQ59" s="83"/>
      <c r="AR59" s="83"/>
      <c r="AS59" s="83"/>
      <c r="AT59" s="83"/>
    </row>
    <row r="60" spans="1:46" ht="13.5" thickBot="1" x14ac:dyDescent="0.25">
      <c r="A60" s="31"/>
      <c r="B60" s="699" t="s">
        <v>664</v>
      </c>
      <c r="C60" s="333"/>
      <c r="D60" s="224">
        <f t="shared" ca="1" si="31"/>
        <v>0</v>
      </c>
      <c r="E60" s="224">
        <f t="shared" ca="1" si="32"/>
        <v>0</v>
      </c>
      <c r="F60" s="224">
        <f t="shared" ca="1" si="33"/>
        <v>0</v>
      </c>
      <c r="G60" s="89" t="s">
        <v>14</v>
      </c>
      <c r="H60" s="224">
        <f t="shared" ca="1" si="34"/>
        <v>0</v>
      </c>
      <c r="I60" s="91">
        <f ca="1">+H60*D60*D60</f>
        <v>0</v>
      </c>
      <c r="J60" s="91">
        <f ca="1">SQRT(H60*D60)</f>
        <v>0</v>
      </c>
      <c r="K60" s="89" t="s">
        <v>14</v>
      </c>
      <c r="L60" s="89" t="s">
        <v>14</v>
      </c>
      <c r="M60" s="89" t="s">
        <v>14</v>
      </c>
      <c r="N60" s="89" t="s">
        <v>14</v>
      </c>
      <c r="O60" s="177" t="s">
        <v>14</v>
      </c>
      <c r="P60" s="63"/>
      <c r="Q60" s="70"/>
      <c r="R60" s="71"/>
      <c r="S60" s="71"/>
      <c r="V60" s="34"/>
      <c r="W60" s="34"/>
      <c r="X60" s="34"/>
      <c r="Y60" s="34"/>
      <c r="Z60" s="34"/>
      <c r="AA60" s="34"/>
      <c r="AB60" s="11"/>
      <c r="AC60" s="11"/>
      <c r="AD60" s="11"/>
      <c r="AE60" s="11"/>
      <c r="AF60" s="11"/>
      <c r="AG60" s="11"/>
      <c r="AH60" s="11"/>
      <c r="AI60" s="11"/>
      <c r="AJ60" s="11"/>
      <c r="AM60" s="53"/>
      <c r="AN60" s="36"/>
      <c r="AO60" s="52"/>
      <c r="AP60" s="25"/>
      <c r="AQ60" s="83"/>
      <c r="AR60" s="83"/>
      <c r="AS60" s="86"/>
      <c r="AT60" s="86"/>
    </row>
    <row r="61" spans="1:46" s="227" customFormat="1" ht="13.5" thickBot="1" x14ac:dyDescent="0.25">
      <c r="A61" s="31"/>
      <c r="B61" s="772" t="s">
        <v>618</v>
      </c>
      <c r="C61" s="772"/>
      <c r="D61" s="251">
        <f ca="1">SUM(D53:D60)</f>
        <v>2.5057011969865394E-3</v>
      </c>
      <c r="E61" s="251">
        <f t="shared" ref="E61" ca="1" si="37">SUM(E53:E60)</f>
        <v>1.4482164165947487E-3</v>
      </c>
      <c r="F61" s="251">
        <f t="shared" ref="F61" ca="1" si="38">SUM(F53:F60)</f>
        <v>1.0574847803917907E-3</v>
      </c>
      <c r="G61" s="252"/>
      <c r="H61" s="251"/>
      <c r="I61" s="253"/>
      <c r="J61" s="253"/>
      <c r="K61" s="252"/>
      <c r="L61" s="252"/>
      <c r="M61" s="252"/>
      <c r="N61" s="252"/>
      <c r="O61" s="254"/>
      <c r="P61" s="66"/>
      <c r="Q61" s="70"/>
      <c r="R61" s="71"/>
      <c r="S61" s="71"/>
      <c r="T61" s="34"/>
      <c r="U61" s="34"/>
      <c r="V61" s="34"/>
      <c r="W61" s="34"/>
      <c r="X61" s="34"/>
      <c r="Y61" s="34"/>
      <c r="Z61" s="34"/>
      <c r="AA61" s="34"/>
      <c r="AB61" s="11"/>
      <c r="AC61" s="11"/>
      <c r="AD61" s="11"/>
      <c r="AM61" s="80"/>
      <c r="AN61" s="80"/>
      <c r="AO61" s="75"/>
      <c r="AP61" s="75"/>
      <c r="AQ61" s="75"/>
      <c r="AR61" s="75"/>
      <c r="AS61" s="75"/>
      <c r="AT61" s="75"/>
    </row>
    <row r="62" spans="1:46" ht="14.25" thickTop="1" thickBot="1" x14ac:dyDescent="0.25">
      <c r="A62" s="35"/>
      <c r="B62" s="724" t="s">
        <v>110</v>
      </c>
      <c r="C62" s="725"/>
      <c r="D62" s="232">
        <f ca="1">SUM(D12:D19)+SUM(D22:D29)+SUM(D32:D39)+SUM(D43:D50)+SUM(D53:D60)</f>
        <v>2.5087519245332009E-3</v>
      </c>
      <c r="E62" s="232">
        <f ca="1">SUM(E12:E19)+SUM(E22:E29)+SUM(E32:E39)+SUM(E43:E50)+SUM(E53:E60)</f>
        <v>1.4504657392100495E-3</v>
      </c>
      <c r="F62" s="232">
        <f ca="1">SUM(F12:F19)+SUM(F22:F29)+SUM(F32:F39)+SUM(F43:F50)+SUM(F53:F60)</f>
        <v>1.0582861853231517E-3</v>
      </c>
      <c r="G62" s="247">
        <v>34</v>
      </c>
      <c r="H62" s="248" t="s">
        <v>14</v>
      </c>
      <c r="I62" s="232">
        <f t="shared" ref="I62:J62" ca="1" si="39">SUM(I12:I19)+SUM(I22:I29)+SUM(I32:I39)+SUM(I43:I50)+SUM(I53:I60)</f>
        <v>7.1575413225317963E-6</v>
      </c>
      <c r="J62" s="232">
        <f t="shared" ca="1" si="39"/>
        <v>5.5008464951310197E-2</v>
      </c>
      <c r="K62" s="249">
        <f ca="1">1/(1+I62/D62)</f>
        <v>0.99715508788385687</v>
      </c>
      <c r="L62" s="249">
        <f ca="1">K62*D62+((1-K62)*G62)</f>
        <v>9.9228626694653044E-2</v>
      </c>
      <c r="M62" s="249">
        <f ca="1">1/(1+(J62/D62))</f>
        <v>4.3617408157084342E-2</v>
      </c>
      <c r="N62" s="249">
        <f ca="1">+M62*D62+(1-M62)*G62</f>
        <v>32.517117547915795</v>
      </c>
      <c r="O62" s="250">
        <f ca="1">(L62+N62)/2</f>
        <v>16.308173087305224</v>
      </c>
      <c r="P62" s="63"/>
      <c r="S62" s="11"/>
      <c r="T62" s="11"/>
      <c r="U62" s="11"/>
      <c r="V62" s="11"/>
      <c r="W62" s="11"/>
      <c r="X62" s="11"/>
      <c r="Y62" s="11"/>
      <c r="Z62" s="11"/>
      <c r="AA62" s="11"/>
      <c r="AB62" s="11"/>
      <c r="AC62" s="11"/>
      <c r="AD62" s="11"/>
      <c r="AE62" s="11"/>
      <c r="AF62" s="11"/>
      <c r="AG62" s="11"/>
      <c r="AH62" s="11"/>
      <c r="AI62" s="11"/>
      <c r="AJ62" s="11"/>
      <c r="AM62" s="36"/>
      <c r="AN62" s="36"/>
      <c r="AO62" s="25"/>
      <c r="AP62" s="25"/>
      <c r="AQ62" s="83"/>
      <c r="AR62" s="83"/>
      <c r="AS62" s="83"/>
      <c r="AT62" s="83"/>
    </row>
    <row r="63" spans="1:46" x14ac:dyDescent="0.2">
      <c r="A63" s="33"/>
      <c r="B63" s="44"/>
      <c r="C63" s="38"/>
      <c r="D63" s="38"/>
      <c r="F63" s="33"/>
      <c r="H63" s="33"/>
      <c r="J63" s="33"/>
      <c r="K63" s="33"/>
      <c r="L63" s="33"/>
      <c r="P63" s="63"/>
      <c r="S63" s="11"/>
      <c r="T63" s="11"/>
      <c r="U63" s="11"/>
      <c r="V63" s="11"/>
      <c r="W63" s="11"/>
      <c r="X63" s="11"/>
      <c r="Y63" s="11"/>
      <c r="Z63" s="11"/>
      <c r="AA63" s="11"/>
      <c r="AB63" s="11"/>
      <c r="AC63" s="11"/>
      <c r="AD63" s="11"/>
      <c r="AE63" s="11"/>
      <c r="AF63" s="11"/>
      <c r="AG63" s="11"/>
      <c r="AH63" s="11"/>
      <c r="AI63" s="11"/>
      <c r="AJ63" s="11"/>
      <c r="AM63" s="36"/>
      <c r="AN63" s="36"/>
      <c r="AO63" s="52"/>
      <c r="AP63" s="28"/>
      <c r="AQ63" s="28"/>
      <c r="AR63" s="28"/>
      <c r="AS63" s="28"/>
      <c r="AT63" s="28"/>
    </row>
    <row r="64" spans="1:46" x14ac:dyDescent="0.2">
      <c r="A64" s="33"/>
      <c r="B64" s="44"/>
      <c r="C64" s="38"/>
      <c r="D64" s="38"/>
      <c r="F64" s="33"/>
      <c r="H64" s="33"/>
      <c r="J64" s="33"/>
      <c r="K64" s="33"/>
      <c r="L64" s="33"/>
      <c r="P64" s="63"/>
      <c r="S64" s="11"/>
      <c r="T64" s="11"/>
      <c r="U64" s="11"/>
      <c r="V64" s="11"/>
      <c r="W64" s="11"/>
      <c r="X64" s="11"/>
      <c r="Y64" s="11"/>
      <c r="Z64" s="11"/>
      <c r="AA64" s="11"/>
      <c r="AB64" s="11"/>
      <c r="AC64" s="11"/>
      <c r="AD64" s="11"/>
      <c r="AE64" s="11"/>
      <c r="AF64" s="11"/>
      <c r="AG64" s="11"/>
      <c r="AH64" s="11"/>
      <c r="AI64" s="11"/>
      <c r="AJ64" s="11"/>
      <c r="AM64" s="36"/>
      <c r="AN64" s="36"/>
      <c r="AO64" s="52"/>
      <c r="AP64" s="28"/>
      <c r="AQ64" s="28"/>
      <c r="AR64" s="28"/>
      <c r="AS64" s="28"/>
      <c r="AT64" s="28"/>
    </row>
    <row r="65" spans="1:46" ht="13.5" thickBot="1" x14ac:dyDescent="0.25">
      <c r="A65" s="33"/>
      <c r="B65" s="44"/>
      <c r="C65" s="38"/>
      <c r="D65" s="38"/>
      <c r="F65" s="33"/>
      <c r="H65" s="33"/>
      <c r="J65" s="33"/>
      <c r="K65" s="33"/>
      <c r="L65" s="33"/>
      <c r="P65" s="63"/>
      <c r="S65" s="11"/>
      <c r="T65" s="11"/>
      <c r="U65" s="11"/>
      <c r="V65" s="11"/>
      <c r="W65" s="11"/>
      <c r="X65" s="11"/>
      <c r="Y65" s="11"/>
      <c r="Z65" s="11"/>
      <c r="AA65" s="11"/>
      <c r="AB65" s="11"/>
      <c r="AC65" s="11"/>
      <c r="AD65" s="11"/>
      <c r="AE65" s="11"/>
      <c r="AF65" s="11"/>
      <c r="AG65" s="11"/>
      <c r="AH65" s="11"/>
      <c r="AI65" s="11"/>
      <c r="AJ65" s="11"/>
      <c r="AM65" s="36"/>
      <c r="AN65" s="36"/>
      <c r="AO65" s="52"/>
      <c r="AP65" s="28"/>
      <c r="AQ65" s="28"/>
      <c r="AR65" s="28"/>
      <c r="AS65" s="28"/>
      <c r="AT65" s="28"/>
    </row>
    <row r="66" spans="1:46" ht="13.5" thickTop="1" x14ac:dyDescent="0.2">
      <c r="A66" s="33"/>
      <c r="B66" s="44"/>
      <c r="C66" s="38"/>
      <c r="D66" s="38"/>
      <c r="G66" s="709" t="s">
        <v>551</v>
      </c>
      <c r="H66" s="762"/>
      <c r="I66" s="762"/>
      <c r="J66" s="762"/>
      <c r="K66" s="33"/>
      <c r="L66" s="33"/>
      <c r="S66" s="11"/>
      <c r="T66" s="11"/>
      <c r="U66" s="11"/>
      <c r="V66" s="11"/>
      <c r="W66" s="11"/>
      <c r="X66" s="11"/>
      <c r="Y66" s="11"/>
      <c r="Z66" s="11"/>
      <c r="AA66" s="11"/>
      <c r="AB66" s="11"/>
      <c r="AC66" s="11"/>
      <c r="AD66" s="11"/>
      <c r="AE66" s="11"/>
      <c r="AF66" s="11"/>
      <c r="AG66" s="11"/>
      <c r="AH66" s="11"/>
      <c r="AI66" s="11"/>
      <c r="AJ66" s="11"/>
      <c r="AM66" s="36"/>
      <c r="AN66" s="36"/>
      <c r="AO66" s="52"/>
      <c r="AP66" s="28"/>
      <c r="AQ66" s="28"/>
      <c r="AR66" s="28"/>
      <c r="AS66" s="28"/>
      <c r="AT66" s="28"/>
    </row>
    <row r="67" spans="1:46" ht="13.5" thickBot="1" x14ac:dyDescent="0.25">
      <c r="A67" s="33"/>
      <c r="B67" s="44"/>
      <c r="C67" s="38"/>
      <c r="D67" s="38"/>
      <c r="G67" s="763"/>
      <c r="H67" s="763"/>
      <c r="I67" s="763"/>
      <c r="J67" s="763"/>
      <c r="K67" s="33"/>
      <c r="L67" s="33"/>
      <c r="S67" s="11"/>
      <c r="T67" s="11"/>
      <c r="U67" s="11"/>
      <c r="V67" s="11"/>
      <c r="W67" s="11"/>
      <c r="X67" s="11"/>
      <c r="Y67" s="11"/>
      <c r="Z67" s="11"/>
      <c r="AA67" s="11"/>
      <c r="AB67" s="11"/>
      <c r="AC67" s="11"/>
      <c r="AD67" s="11"/>
      <c r="AE67" s="11"/>
      <c r="AF67" s="11"/>
      <c r="AG67" s="11"/>
      <c r="AH67" s="11"/>
      <c r="AI67" s="11"/>
      <c r="AJ67" s="11"/>
      <c r="AM67" s="36"/>
      <c r="AN67" s="36"/>
      <c r="AO67" s="52"/>
      <c r="AP67" s="28"/>
      <c r="AQ67" s="28"/>
      <c r="AR67" s="28"/>
      <c r="AS67" s="28"/>
      <c r="AT67" s="28"/>
    </row>
    <row r="68" spans="1:46" x14ac:dyDescent="0.2">
      <c r="A68" s="33"/>
      <c r="B68" s="44"/>
      <c r="C68" s="38"/>
      <c r="D68" s="38"/>
      <c r="G68" s="738" t="s">
        <v>16</v>
      </c>
      <c r="H68" s="323"/>
      <c r="I68" s="41" t="s">
        <v>17</v>
      </c>
      <c r="J68" s="88" t="s">
        <v>18</v>
      </c>
      <c r="K68" s="33"/>
      <c r="L68" s="33"/>
      <c r="S68" s="11"/>
      <c r="T68" s="11"/>
      <c r="U68" s="11"/>
      <c r="V68" s="11"/>
      <c r="W68" s="11"/>
      <c r="X68" s="11"/>
      <c r="Y68" s="11"/>
      <c r="Z68" s="11"/>
      <c r="AA68" s="11"/>
      <c r="AB68" s="11"/>
      <c r="AC68" s="11"/>
      <c r="AD68" s="11"/>
      <c r="AE68" s="11"/>
      <c r="AF68" s="11"/>
      <c r="AG68" s="11"/>
      <c r="AH68" s="11"/>
      <c r="AI68" s="11"/>
      <c r="AJ68" s="11"/>
      <c r="AM68" s="36"/>
      <c r="AN68" s="36"/>
      <c r="AO68" s="52"/>
      <c r="AP68" s="28"/>
      <c r="AQ68" s="28"/>
      <c r="AR68" s="28"/>
      <c r="AS68" s="28"/>
      <c r="AT68" s="28"/>
    </row>
    <row r="69" spans="1:46" ht="15" thickBot="1" x14ac:dyDescent="0.3">
      <c r="A69" s="33"/>
      <c r="B69" s="44"/>
      <c r="C69" s="38"/>
      <c r="D69" s="38"/>
      <c r="G69" s="768" t="s">
        <v>530</v>
      </c>
      <c r="H69" s="768"/>
      <c r="I69" s="182" t="s">
        <v>531</v>
      </c>
      <c r="J69" s="45" t="s">
        <v>532</v>
      </c>
      <c r="K69" s="33"/>
      <c r="L69" s="33"/>
      <c r="S69" s="11"/>
      <c r="T69" s="11"/>
      <c r="U69" s="11"/>
      <c r="V69" s="11"/>
      <c r="W69" s="11"/>
      <c r="X69" s="11"/>
      <c r="Y69" s="11"/>
      <c r="Z69" s="11"/>
      <c r="AA69" s="11"/>
      <c r="AB69" s="11"/>
      <c r="AC69" s="11"/>
      <c r="AD69" s="11"/>
      <c r="AE69" s="11"/>
      <c r="AF69" s="11"/>
      <c r="AG69" s="11"/>
      <c r="AH69" s="11"/>
      <c r="AI69" s="11"/>
      <c r="AJ69" s="11"/>
      <c r="AM69" s="36"/>
      <c r="AN69" s="36"/>
      <c r="AO69" s="52"/>
      <c r="AP69" s="28"/>
      <c r="AQ69" s="28"/>
      <c r="AR69" s="28"/>
      <c r="AS69" s="28"/>
      <c r="AT69" s="28"/>
    </row>
    <row r="70" spans="1:46" x14ac:dyDescent="0.2">
      <c r="A70" s="33"/>
      <c r="B70" s="44"/>
      <c r="C70" s="38"/>
      <c r="D70" s="38"/>
      <c r="G70" s="744" t="s">
        <v>113</v>
      </c>
      <c r="H70" s="744"/>
      <c r="I70" s="744"/>
      <c r="J70" s="744"/>
      <c r="K70" s="33"/>
      <c r="L70" s="33"/>
      <c r="S70" s="11"/>
      <c r="T70" s="11"/>
      <c r="U70" s="11"/>
      <c r="V70" s="11"/>
      <c r="W70" s="11"/>
      <c r="X70" s="11"/>
      <c r="Y70" s="11"/>
      <c r="Z70" s="11"/>
      <c r="AA70" s="11"/>
      <c r="AB70" s="11"/>
      <c r="AC70" s="11"/>
      <c r="AD70" s="11"/>
      <c r="AE70" s="11"/>
      <c r="AF70" s="11"/>
      <c r="AG70" s="11"/>
      <c r="AH70" s="11"/>
      <c r="AI70" s="11"/>
      <c r="AJ70" s="11"/>
      <c r="AM70" s="36"/>
      <c r="AN70" s="36"/>
      <c r="AO70" s="52"/>
      <c r="AP70" s="28"/>
      <c r="AQ70" s="28"/>
      <c r="AR70" s="28"/>
      <c r="AS70" s="28"/>
      <c r="AT70" s="28"/>
    </row>
    <row r="71" spans="1:46" x14ac:dyDescent="0.2">
      <c r="A71" s="33"/>
      <c r="B71" s="44"/>
      <c r="C71" s="38"/>
      <c r="D71" s="38"/>
      <c r="G71" s="502" t="s">
        <v>649</v>
      </c>
      <c r="H71" s="333"/>
      <c r="I71" s="183">
        <f ca="1">IFERROR(INDIRECT(G71 &amp; "!" &amp; "$M$137"),0)</f>
        <v>0</v>
      </c>
      <c r="J71" s="185">
        <f ca="1">IFERROR(INDIRECT(G71 &amp; "!" &amp; "$M$147"),0)</f>
        <v>0</v>
      </c>
      <c r="K71" s="33"/>
      <c r="L71" s="33"/>
      <c r="S71" s="11"/>
      <c r="T71" s="11"/>
      <c r="U71" s="11"/>
      <c r="V71" s="11"/>
      <c r="W71" s="11"/>
      <c r="X71" s="11"/>
      <c r="Y71" s="11"/>
      <c r="Z71" s="11"/>
      <c r="AA71" s="11"/>
      <c r="AB71" s="11"/>
      <c r="AC71" s="11"/>
      <c r="AD71" s="11"/>
      <c r="AE71" s="11"/>
      <c r="AF71" s="11"/>
      <c r="AG71" s="11"/>
      <c r="AH71" s="11"/>
      <c r="AI71" s="11"/>
      <c r="AJ71" s="11"/>
      <c r="AM71" s="36"/>
      <c r="AN71" s="36"/>
      <c r="AO71" s="52"/>
      <c r="AP71" s="28"/>
      <c r="AQ71" s="28"/>
      <c r="AR71" s="28"/>
      <c r="AS71" s="28"/>
      <c r="AT71" s="28"/>
    </row>
    <row r="72" spans="1:46" x14ac:dyDescent="0.2">
      <c r="A72" s="33"/>
      <c r="B72" s="44"/>
      <c r="C72" s="38"/>
      <c r="D72" s="38"/>
      <c r="G72" s="502" t="s">
        <v>650</v>
      </c>
      <c r="H72" s="333"/>
      <c r="I72" s="183">
        <f t="shared" ref="I72:I78" ca="1" si="40">IFERROR(INDIRECT(G72 &amp; "!" &amp; "$M$137"),0)</f>
        <v>0</v>
      </c>
      <c r="J72" s="185">
        <f t="shared" ref="J72:J78" ca="1" si="41">IFERROR(INDIRECT(G72 &amp; "!" &amp; "$M$147"),0)</f>
        <v>0</v>
      </c>
      <c r="K72" s="33"/>
      <c r="L72" s="33"/>
      <c r="S72" s="11"/>
      <c r="T72" s="11"/>
      <c r="U72" s="11"/>
      <c r="V72" s="11"/>
      <c r="W72" s="11"/>
      <c r="X72" s="11"/>
      <c r="Y72" s="11"/>
      <c r="Z72" s="11"/>
      <c r="AA72" s="11"/>
      <c r="AB72" s="11"/>
      <c r="AC72" s="11"/>
      <c r="AD72" s="11"/>
      <c r="AE72" s="11"/>
      <c r="AF72" s="11"/>
      <c r="AG72" s="11"/>
      <c r="AH72" s="11"/>
      <c r="AI72" s="11"/>
      <c r="AJ72" s="11"/>
      <c r="AM72" s="36"/>
      <c r="AN72" s="36"/>
      <c r="AO72" s="52"/>
      <c r="AP72" s="28"/>
      <c r="AQ72" s="28"/>
      <c r="AR72" s="28"/>
      <c r="AS72" s="28"/>
      <c r="AT72" s="28"/>
    </row>
    <row r="73" spans="1:46" s="227" customFormat="1" x14ac:dyDescent="0.2">
      <c r="A73" s="33"/>
      <c r="B73" s="44"/>
      <c r="C73" s="230"/>
      <c r="D73" s="230"/>
      <c r="G73" s="502" t="s">
        <v>651</v>
      </c>
      <c r="H73" s="333"/>
      <c r="I73" s="183">
        <f t="shared" ca="1" si="40"/>
        <v>0</v>
      </c>
      <c r="J73" s="185">
        <f t="shared" ca="1" si="41"/>
        <v>0</v>
      </c>
      <c r="K73" s="33"/>
      <c r="L73" s="33"/>
      <c r="S73" s="11"/>
      <c r="T73" s="11"/>
      <c r="U73" s="11"/>
      <c r="V73" s="11"/>
      <c r="W73" s="11"/>
      <c r="X73" s="11"/>
      <c r="Y73" s="11"/>
      <c r="Z73" s="11"/>
      <c r="AA73" s="11"/>
      <c r="AB73" s="11"/>
      <c r="AC73" s="11"/>
      <c r="AD73" s="11"/>
      <c r="AE73" s="11"/>
      <c r="AF73" s="11"/>
      <c r="AG73" s="11"/>
      <c r="AH73" s="11"/>
      <c r="AI73" s="11"/>
      <c r="AJ73" s="11"/>
      <c r="AM73" s="36"/>
      <c r="AN73" s="36"/>
      <c r="AO73" s="52"/>
      <c r="AP73" s="228"/>
      <c r="AQ73" s="228"/>
      <c r="AR73" s="228"/>
      <c r="AS73" s="228"/>
      <c r="AT73" s="228"/>
    </row>
    <row r="74" spans="1:46" s="227" customFormat="1" x14ac:dyDescent="0.2">
      <c r="A74" s="33"/>
      <c r="B74" s="44"/>
      <c r="C74" s="230"/>
      <c r="D74" s="230"/>
      <c r="G74" s="502" t="s">
        <v>652</v>
      </c>
      <c r="H74" s="333"/>
      <c r="I74" s="183">
        <f t="shared" ca="1" si="40"/>
        <v>0</v>
      </c>
      <c r="J74" s="185">
        <f t="shared" ca="1" si="41"/>
        <v>0</v>
      </c>
      <c r="K74" s="33"/>
      <c r="L74" s="33"/>
      <c r="S74" s="11"/>
      <c r="T74" s="11"/>
      <c r="U74" s="11"/>
      <c r="V74" s="11"/>
      <c r="W74" s="11"/>
      <c r="X74" s="11"/>
      <c r="Y74" s="11"/>
      <c r="Z74" s="11"/>
      <c r="AA74" s="11"/>
      <c r="AB74" s="11"/>
      <c r="AC74" s="11"/>
      <c r="AD74" s="11"/>
      <c r="AE74" s="11"/>
      <c r="AF74" s="11"/>
      <c r="AG74" s="11"/>
      <c r="AH74" s="11"/>
      <c r="AI74" s="11"/>
      <c r="AJ74" s="11"/>
      <c r="AM74" s="36"/>
      <c r="AN74" s="36"/>
      <c r="AO74" s="52"/>
      <c r="AP74" s="228"/>
      <c r="AQ74" s="228"/>
      <c r="AR74" s="228"/>
      <c r="AS74" s="228"/>
      <c r="AT74" s="228"/>
    </row>
    <row r="75" spans="1:46" s="227" customFormat="1" x14ac:dyDescent="0.2">
      <c r="A75" s="33"/>
      <c r="B75" s="44"/>
      <c r="C75" s="230"/>
      <c r="D75" s="230"/>
      <c r="G75" s="502" t="s">
        <v>653</v>
      </c>
      <c r="H75" s="333"/>
      <c r="I75" s="183">
        <f t="shared" ca="1" si="40"/>
        <v>0</v>
      </c>
      <c r="J75" s="185">
        <f t="shared" ca="1" si="41"/>
        <v>0</v>
      </c>
      <c r="K75" s="33"/>
      <c r="L75" s="33"/>
      <c r="S75" s="11"/>
      <c r="T75" s="11"/>
      <c r="U75" s="11"/>
      <c r="V75" s="11"/>
      <c r="W75" s="11"/>
      <c r="X75" s="11"/>
      <c r="Y75" s="11"/>
      <c r="Z75" s="11"/>
      <c r="AA75" s="11"/>
      <c r="AB75" s="11"/>
      <c r="AC75" s="11"/>
      <c r="AD75" s="11"/>
      <c r="AE75" s="11"/>
      <c r="AF75" s="11"/>
      <c r="AG75" s="11"/>
      <c r="AH75" s="11"/>
      <c r="AI75" s="11"/>
      <c r="AJ75" s="11"/>
      <c r="AM75" s="36"/>
      <c r="AN75" s="36"/>
      <c r="AO75" s="52"/>
      <c r="AP75" s="228"/>
      <c r="AQ75" s="228"/>
      <c r="AR75" s="228"/>
      <c r="AS75" s="228"/>
      <c r="AT75" s="228"/>
    </row>
    <row r="76" spans="1:46" s="227" customFormat="1" x14ac:dyDescent="0.2">
      <c r="A76" s="33"/>
      <c r="B76" s="44"/>
      <c r="C76" s="230"/>
      <c r="D76" s="230"/>
      <c r="G76" s="502" t="s">
        <v>654</v>
      </c>
      <c r="H76" s="333"/>
      <c r="I76" s="183">
        <f ca="1">IFERROR(INDIRECT(G76 &amp; "!" &amp; "$M$137"),0)</f>
        <v>0</v>
      </c>
      <c r="J76" s="185">
        <f t="shared" ca="1" si="41"/>
        <v>0</v>
      </c>
      <c r="K76" s="33"/>
      <c r="L76" s="33"/>
      <c r="S76" s="11"/>
      <c r="T76" s="11"/>
      <c r="U76" s="11"/>
      <c r="V76" s="11"/>
      <c r="W76" s="11"/>
      <c r="X76" s="11"/>
      <c r="Y76" s="11"/>
      <c r="Z76" s="11"/>
      <c r="AA76" s="11"/>
      <c r="AB76" s="11"/>
      <c r="AC76" s="11"/>
      <c r="AD76" s="11"/>
      <c r="AE76" s="11"/>
      <c r="AF76" s="11"/>
      <c r="AG76" s="11"/>
      <c r="AH76" s="11"/>
      <c r="AI76" s="11"/>
      <c r="AJ76" s="11"/>
      <c r="AM76" s="36"/>
      <c r="AN76" s="36"/>
      <c r="AO76" s="52"/>
      <c r="AP76" s="228"/>
      <c r="AQ76" s="228"/>
      <c r="AR76" s="228"/>
      <c r="AS76" s="228"/>
      <c r="AT76" s="228"/>
    </row>
    <row r="77" spans="1:46" x14ac:dyDescent="0.2">
      <c r="A77" s="33"/>
      <c r="B77" s="44"/>
      <c r="C77" s="38"/>
      <c r="D77" s="38"/>
      <c r="G77" s="502" t="s">
        <v>655</v>
      </c>
      <c r="H77" s="333"/>
      <c r="I77" s="183">
        <f t="shared" ca="1" si="40"/>
        <v>0</v>
      </c>
      <c r="J77" s="185">
        <f t="shared" ca="1" si="41"/>
        <v>0</v>
      </c>
      <c r="K77" s="33"/>
      <c r="L77" s="33"/>
      <c r="S77" s="11"/>
      <c r="T77" s="11"/>
      <c r="U77" s="11"/>
      <c r="V77" s="11"/>
      <c r="W77" s="11"/>
      <c r="X77" s="11"/>
      <c r="Y77" s="11"/>
      <c r="Z77" s="11"/>
      <c r="AA77" s="11"/>
      <c r="AB77" s="11"/>
      <c r="AC77" s="11"/>
      <c r="AD77" s="11"/>
      <c r="AE77" s="11"/>
      <c r="AF77" s="11"/>
      <c r="AG77" s="11"/>
      <c r="AH77" s="11"/>
      <c r="AI77" s="11"/>
      <c r="AJ77" s="11"/>
      <c r="AM77" s="36"/>
      <c r="AN77" s="36"/>
      <c r="AO77" s="52"/>
      <c r="AP77" s="28"/>
      <c r="AQ77" s="28"/>
      <c r="AR77" s="28"/>
      <c r="AS77" s="28"/>
      <c r="AT77" s="28"/>
    </row>
    <row r="78" spans="1:46" x14ac:dyDescent="0.2">
      <c r="A78" s="33"/>
      <c r="B78" s="44"/>
      <c r="C78" s="38"/>
      <c r="D78" s="38"/>
      <c r="G78" s="502" t="s">
        <v>656</v>
      </c>
      <c r="H78" s="333"/>
      <c r="I78" s="183">
        <f t="shared" ca="1" si="40"/>
        <v>0</v>
      </c>
      <c r="J78" s="185">
        <f t="shared" ca="1" si="41"/>
        <v>0</v>
      </c>
      <c r="K78" s="33"/>
      <c r="L78" s="33"/>
      <c r="S78" s="11"/>
      <c r="T78" s="11"/>
      <c r="U78" s="11"/>
      <c r="V78" s="11"/>
      <c r="W78" s="11"/>
      <c r="X78" s="11"/>
      <c r="Y78" s="11"/>
      <c r="Z78" s="11"/>
      <c r="AA78" s="11"/>
      <c r="AB78" s="11"/>
      <c r="AC78" s="11"/>
      <c r="AD78" s="11"/>
      <c r="AE78" s="11"/>
      <c r="AF78" s="11"/>
      <c r="AG78" s="11"/>
      <c r="AH78" s="11"/>
      <c r="AI78" s="11"/>
      <c r="AJ78" s="11"/>
      <c r="AM78" s="36"/>
      <c r="AN78" s="36"/>
      <c r="AO78" s="52"/>
      <c r="AP78" s="28"/>
      <c r="AQ78" s="28"/>
      <c r="AR78" s="28"/>
      <c r="AS78" s="28"/>
      <c r="AT78" s="28"/>
    </row>
    <row r="79" spans="1:46" x14ac:dyDescent="0.2">
      <c r="A79" s="33"/>
      <c r="B79" s="44"/>
      <c r="C79" s="38"/>
      <c r="D79" s="38"/>
      <c r="G79" s="695" t="s">
        <v>114</v>
      </c>
      <c r="H79" s="696"/>
      <c r="I79" s="696"/>
      <c r="J79" s="431"/>
      <c r="K79" s="33"/>
      <c r="L79" s="33"/>
      <c r="S79" s="11"/>
      <c r="T79" s="11"/>
      <c r="U79" s="11"/>
      <c r="V79" s="11"/>
      <c r="W79" s="11"/>
      <c r="X79" s="11"/>
      <c r="Y79" s="11"/>
      <c r="Z79" s="11"/>
      <c r="AA79" s="11"/>
      <c r="AB79" s="11"/>
      <c r="AC79" s="11"/>
      <c r="AD79" s="11"/>
      <c r="AE79" s="11"/>
      <c r="AF79" s="11"/>
      <c r="AG79" s="11"/>
      <c r="AH79" s="11"/>
      <c r="AI79" s="11"/>
      <c r="AJ79" s="11"/>
      <c r="AM79" s="36"/>
      <c r="AN79" s="36"/>
      <c r="AO79" s="52"/>
      <c r="AP79" s="28"/>
      <c r="AQ79" s="28"/>
      <c r="AR79" s="28"/>
      <c r="AS79" s="28"/>
      <c r="AT79" s="28"/>
    </row>
    <row r="80" spans="1:46" x14ac:dyDescent="0.2">
      <c r="A80" s="33"/>
      <c r="B80" s="44"/>
      <c r="C80" s="38"/>
      <c r="D80" s="38"/>
      <c r="G80" s="502" t="s">
        <v>657</v>
      </c>
      <c r="H80" s="333"/>
      <c r="I80" s="183">
        <f ca="1">IFERROR(INDIRECT(G80 &amp; "!" &amp; "$F$170"),0)</f>
        <v>5.2683790415197219E-5</v>
      </c>
      <c r="J80" s="185">
        <f ca="1">IFERROR(INDIRECT(G80 &amp; "!" &amp; "$F$171"),0)</f>
        <v>4.0140030792531216E-5</v>
      </c>
      <c r="K80" s="33"/>
      <c r="L80" s="33"/>
      <c r="S80" s="11"/>
      <c r="T80" s="11"/>
      <c r="U80" s="11"/>
      <c r="V80" s="11"/>
      <c r="W80" s="11"/>
      <c r="X80" s="11"/>
      <c r="Y80" s="11"/>
      <c r="Z80" s="11"/>
      <c r="AA80" s="11"/>
      <c r="AB80" s="11"/>
      <c r="AC80" s="11"/>
      <c r="AD80" s="11"/>
      <c r="AE80" s="11"/>
      <c r="AF80" s="11"/>
      <c r="AG80" s="11"/>
      <c r="AH80" s="11"/>
      <c r="AI80" s="11"/>
      <c r="AJ80" s="11"/>
      <c r="AM80" s="36"/>
      <c r="AN80" s="36"/>
      <c r="AO80" s="52"/>
      <c r="AP80" s="28"/>
      <c r="AQ80" s="28"/>
      <c r="AR80" s="28"/>
      <c r="AS80" s="28"/>
      <c r="AT80" s="28"/>
    </row>
    <row r="81" spans="1:46" x14ac:dyDescent="0.2">
      <c r="A81" s="33"/>
      <c r="B81" s="44"/>
      <c r="C81" s="38"/>
      <c r="D81" s="38"/>
      <c r="G81" s="699" t="s">
        <v>658</v>
      </c>
      <c r="H81" s="333"/>
      <c r="I81" s="183">
        <f t="shared" ref="I81:I87" ca="1" si="42">IFERROR(INDIRECT(G81 &amp; "!" &amp; "$F$170"),0)</f>
        <v>0</v>
      </c>
      <c r="J81" s="185">
        <f t="shared" ref="J81:J87" ca="1" si="43">IFERROR(INDIRECT(G81 &amp; "!" &amp; "$F$171"),0)</f>
        <v>0</v>
      </c>
      <c r="K81" s="33"/>
      <c r="L81" s="33"/>
      <c r="S81" s="11"/>
      <c r="T81" s="11"/>
      <c r="U81" s="11"/>
      <c r="V81" s="11"/>
      <c r="W81" s="11"/>
      <c r="X81" s="11"/>
      <c r="Y81" s="11"/>
      <c r="Z81" s="11"/>
      <c r="AA81" s="11"/>
      <c r="AB81" s="11"/>
      <c r="AC81" s="11"/>
      <c r="AD81" s="11"/>
      <c r="AE81" s="11"/>
      <c r="AF81" s="11"/>
      <c r="AG81" s="11"/>
      <c r="AH81" s="11"/>
      <c r="AI81" s="11"/>
      <c r="AJ81" s="11"/>
      <c r="AM81" s="36"/>
      <c r="AN81" s="36"/>
      <c r="AO81" s="52"/>
      <c r="AP81" s="28"/>
      <c r="AQ81" s="28"/>
      <c r="AR81" s="28"/>
      <c r="AS81" s="28"/>
      <c r="AT81" s="28"/>
    </row>
    <row r="82" spans="1:46" s="227" customFormat="1" x14ac:dyDescent="0.2">
      <c r="A82" s="33"/>
      <c r="B82" s="44"/>
      <c r="C82" s="230"/>
      <c r="D82" s="230"/>
      <c r="G82" s="502" t="s">
        <v>659</v>
      </c>
      <c r="H82" s="333"/>
      <c r="I82" s="183">
        <f t="shared" ca="1" si="42"/>
        <v>0</v>
      </c>
      <c r="J82" s="185">
        <f t="shared" ca="1" si="43"/>
        <v>0</v>
      </c>
      <c r="K82" s="33"/>
      <c r="L82" s="33"/>
      <c r="S82" s="11"/>
      <c r="T82" s="11"/>
      <c r="U82" s="11"/>
      <c r="V82" s="11"/>
      <c r="W82" s="11"/>
      <c r="X82" s="11"/>
      <c r="Y82" s="11"/>
      <c r="Z82" s="11"/>
      <c r="AA82" s="11"/>
      <c r="AB82" s="11"/>
      <c r="AC82" s="11"/>
      <c r="AD82" s="11"/>
      <c r="AE82" s="11"/>
      <c r="AF82" s="11"/>
      <c r="AG82" s="11"/>
      <c r="AH82" s="11"/>
      <c r="AI82" s="11"/>
      <c r="AJ82" s="11"/>
      <c r="AM82" s="36"/>
      <c r="AN82" s="36"/>
      <c r="AO82" s="52"/>
      <c r="AP82" s="228"/>
      <c r="AQ82" s="228"/>
      <c r="AR82" s="228"/>
      <c r="AS82" s="228"/>
      <c r="AT82" s="228"/>
    </row>
    <row r="83" spans="1:46" s="227" customFormat="1" x14ac:dyDescent="0.2">
      <c r="A83" s="33"/>
      <c r="B83" s="44"/>
      <c r="C83" s="230"/>
      <c r="D83" s="230"/>
      <c r="G83" s="699" t="s">
        <v>660</v>
      </c>
      <c r="H83" s="333"/>
      <c r="I83" s="183">
        <f t="shared" ca="1" si="42"/>
        <v>0</v>
      </c>
      <c r="J83" s="185">
        <f t="shared" ca="1" si="43"/>
        <v>0</v>
      </c>
      <c r="K83" s="33"/>
      <c r="L83" s="33"/>
      <c r="S83" s="11"/>
      <c r="T83" s="11"/>
      <c r="U83" s="11"/>
      <c r="V83" s="11"/>
      <c r="W83" s="11"/>
      <c r="X83" s="11"/>
      <c r="Y83" s="11"/>
      <c r="Z83" s="11"/>
      <c r="AA83" s="11"/>
      <c r="AB83" s="11"/>
      <c r="AC83" s="11"/>
      <c r="AD83" s="11"/>
      <c r="AE83" s="11"/>
      <c r="AF83" s="11"/>
      <c r="AG83" s="11"/>
      <c r="AH83" s="11"/>
      <c r="AI83" s="11"/>
      <c r="AJ83" s="11"/>
      <c r="AM83" s="36"/>
      <c r="AN83" s="36"/>
      <c r="AO83" s="52"/>
      <c r="AP83" s="228"/>
      <c r="AQ83" s="228"/>
      <c r="AR83" s="228"/>
      <c r="AS83" s="228"/>
      <c r="AT83" s="228"/>
    </row>
    <row r="84" spans="1:46" s="227" customFormat="1" x14ac:dyDescent="0.2">
      <c r="A84" s="33"/>
      <c r="B84" s="44"/>
      <c r="C84" s="230"/>
      <c r="D84" s="230"/>
      <c r="G84" s="502" t="s">
        <v>661</v>
      </c>
      <c r="H84" s="333"/>
      <c r="I84" s="183">
        <f t="shared" ca="1" si="42"/>
        <v>0</v>
      </c>
      <c r="J84" s="185">
        <f t="shared" ca="1" si="43"/>
        <v>0</v>
      </c>
      <c r="K84" s="33"/>
      <c r="L84" s="33"/>
      <c r="S84" s="11"/>
      <c r="T84" s="11"/>
      <c r="U84" s="11"/>
      <c r="V84" s="11"/>
      <c r="W84" s="11"/>
      <c r="X84" s="11"/>
      <c r="Y84" s="11"/>
      <c r="Z84" s="11"/>
      <c r="AA84" s="11"/>
      <c r="AB84" s="11"/>
      <c r="AC84" s="11"/>
      <c r="AD84" s="11"/>
      <c r="AE84" s="11"/>
      <c r="AF84" s="11"/>
      <c r="AG84" s="11"/>
      <c r="AH84" s="11"/>
      <c r="AI84" s="11"/>
      <c r="AJ84" s="11"/>
      <c r="AM84" s="36"/>
      <c r="AN84" s="36"/>
      <c r="AO84" s="52"/>
      <c r="AP84" s="228"/>
      <c r="AQ84" s="228"/>
      <c r="AR84" s="228"/>
      <c r="AS84" s="228"/>
      <c r="AT84" s="228"/>
    </row>
    <row r="85" spans="1:46" s="227" customFormat="1" x14ac:dyDescent="0.2">
      <c r="A85" s="33"/>
      <c r="B85" s="44"/>
      <c r="C85" s="230"/>
      <c r="D85" s="230"/>
      <c r="G85" s="699" t="s">
        <v>662</v>
      </c>
      <c r="H85" s="333"/>
      <c r="I85" s="183">
        <f t="shared" ca="1" si="42"/>
        <v>0</v>
      </c>
      <c r="J85" s="185">
        <f t="shared" ca="1" si="43"/>
        <v>0</v>
      </c>
      <c r="K85" s="33"/>
      <c r="L85" s="33"/>
      <c r="S85" s="11"/>
      <c r="T85" s="11"/>
      <c r="U85" s="11"/>
      <c r="V85" s="11"/>
      <c r="W85" s="11"/>
      <c r="X85" s="11"/>
      <c r="Y85" s="11"/>
      <c r="Z85" s="11"/>
      <c r="AA85" s="11"/>
      <c r="AB85" s="11"/>
      <c r="AC85" s="11"/>
      <c r="AD85" s="11"/>
      <c r="AE85" s="11"/>
      <c r="AF85" s="11"/>
      <c r="AG85" s="11"/>
      <c r="AH85" s="11"/>
      <c r="AI85" s="11"/>
      <c r="AJ85" s="11"/>
      <c r="AM85" s="36"/>
      <c r="AN85" s="36"/>
      <c r="AO85" s="52"/>
      <c r="AP85" s="228"/>
      <c r="AQ85" s="228"/>
      <c r="AR85" s="228"/>
      <c r="AS85" s="228"/>
      <c r="AT85" s="228"/>
    </row>
    <row r="86" spans="1:46" x14ac:dyDescent="0.2">
      <c r="A86" s="33"/>
      <c r="B86" s="44"/>
      <c r="C86" s="38"/>
      <c r="D86" s="38"/>
      <c r="G86" s="502" t="s">
        <v>663</v>
      </c>
      <c r="H86" s="333"/>
      <c r="I86" s="183">
        <f t="shared" ca="1" si="42"/>
        <v>0</v>
      </c>
      <c r="J86" s="185">
        <f t="shared" ca="1" si="43"/>
        <v>0</v>
      </c>
      <c r="K86" s="33"/>
      <c r="L86" s="33"/>
      <c r="S86" s="11"/>
      <c r="T86" s="11"/>
      <c r="U86" s="11"/>
      <c r="V86" s="11"/>
      <c r="W86" s="11"/>
      <c r="X86" s="11"/>
      <c r="Y86" s="11"/>
      <c r="Z86" s="11"/>
      <c r="AA86" s="11"/>
      <c r="AB86" s="11"/>
      <c r="AC86" s="11"/>
      <c r="AD86" s="11"/>
      <c r="AE86" s="11"/>
      <c r="AF86" s="11"/>
      <c r="AG86" s="11"/>
      <c r="AH86" s="11"/>
      <c r="AI86" s="11"/>
      <c r="AJ86" s="11"/>
      <c r="AM86" s="36"/>
      <c r="AN86" s="36"/>
      <c r="AO86" s="52"/>
      <c r="AP86" s="28"/>
      <c r="AQ86" s="28"/>
      <c r="AR86" s="28"/>
      <c r="AS86" s="28"/>
      <c r="AT86" s="28"/>
    </row>
    <row r="87" spans="1:46" ht="13.5" thickBot="1" x14ac:dyDescent="0.25">
      <c r="A87" s="43"/>
      <c r="B87" s="44"/>
      <c r="C87" s="74"/>
      <c r="D87" s="43"/>
      <c r="G87" s="766" t="s">
        <v>664</v>
      </c>
      <c r="H87" s="767"/>
      <c r="I87" s="183">
        <f t="shared" ca="1" si="42"/>
        <v>0</v>
      </c>
      <c r="J87" s="185">
        <f t="shared" ca="1" si="43"/>
        <v>0</v>
      </c>
      <c r="K87" s="43"/>
      <c r="L87" s="43"/>
      <c r="S87" s="11"/>
      <c r="T87" s="11"/>
      <c r="U87" s="11"/>
      <c r="V87" s="11"/>
      <c r="W87" s="11"/>
      <c r="X87" s="11"/>
      <c r="Y87" s="11"/>
      <c r="Z87" s="11"/>
      <c r="AA87" s="11"/>
      <c r="AB87" s="11"/>
      <c r="AC87" s="11"/>
      <c r="AD87" s="11"/>
      <c r="AE87" s="11"/>
      <c r="AF87" s="11"/>
      <c r="AG87" s="11"/>
      <c r="AH87" s="11"/>
      <c r="AI87" s="11"/>
      <c r="AJ87" s="11"/>
      <c r="AM87" s="80"/>
      <c r="AN87" s="80"/>
      <c r="AO87" s="75"/>
      <c r="AP87" s="75"/>
      <c r="AQ87" s="75"/>
      <c r="AR87" s="75"/>
      <c r="AS87" s="75"/>
      <c r="AT87" s="75"/>
    </row>
    <row r="88" spans="1:46" ht="14.25" thickTop="1" thickBot="1" x14ac:dyDescent="0.25">
      <c r="B88" s="44"/>
      <c r="C88" s="39"/>
      <c r="D88" s="25"/>
      <c r="G88" s="773" t="s">
        <v>110</v>
      </c>
      <c r="H88" s="774"/>
      <c r="I88" s="186">
        <f ca="1">SUM($I$71:$I$78,$I$80:$I$87)</f>
        <v>5.2683790415197219E-5</v>
      </c>
      <c r="J88" s="186">
        <f ca="1">SUM($J$71:$J$78,$J$80:$J$87)</f>
        <v>4.0140030792531216E-5</v>
      </c>
      <c r="K88" s="25"/>
      <c r="S88" s="11"/>
      <c r="T88" s="11"/>
      <c r="U88" s="11"/>
      <c r="V88" s="11"/>
      <c r="W88" s="11"/>
      <c r="X88" s="11"/>
      <c r="Y88" s="11"/>
      <c r="Z88" s="11"/>
      <c r="AA88" s="11"/>
      <c r="AB88" s="11"/>
      <c r="AC88" s="11"/>
      <c r="AD88" s="11"/>
      <c r="AE88" s="11"/>
      <c r="AF88" s="11"/>
      <c r="AG88" s="11"/>
      <c r="AH88" s="11"/>
      <c r="AI88" s="11"/>
      <c r="AJ88" s="11"/>
      <c r="AM88" s="32"/>
      <c r="AN88" s="75"/>
      <c r="AO88" s="75"/>
      <c r="AP88" s="75"/>
      <c r="AQ88" s="75"/>
      <c r="AR88" s="75"/>
      <c r="AS88" s="75"/>
      <c r="AT88" s="75"/>
    </row>
    <row r="89" spans="1:46" x14ac:dyDescent="0.2">
      <c r="B89" s="44"/>
      <c r="C89" s="39"/>
      <c r="D89" s="25"/>
      <c r="G89" s="188"/>
      <c r="H89" s="114"/>
      <c r="I89" s="189"/>
      <c r="J89" s="189"/>
      <c r="K89" s="25"/>
      <c r="S89" s="11"/>
      <c r="T89" s="11"/>
      <c r="U89" s="11"/>
      <c r="V89" s="11"/>
      <c r="W89" s="11"/>
      <c r="X89" s="11"/>
      <c r="Y89" s="11"/>
      <c r="Z89" s="11"/>
      <c r="AA89" s="11"/>
      <c r="AB89" s="11"/>
      <c r="AC89" s="11"/>
      <c r="AD89" s="11"/>
      <c r="AE89" s="11"/>
      <c r="AF89" s="11"/>
      <c r="AG89" s="11"/>
      <c r="AH89" s="11"/>
      <c r="AI89" s="11"/>
      <c r="AJ89" s="11"/>
      <c r="AM89" s="32"/>
      <c r="AN89" s="75"/>
      <c r="AO89" s="75"/>
      <c r="AP89" s="75"/>
      <c r="AQ89" s="75"/>
      <c r="AR89" s="75"/>
      <c r="AS89" s="75"/>
      <c r="AT89" s="75"/>
    </row>
    <row r="90" spans="1:46" x14ac:dyDescent="0.2">
      <c r="B90" s="44"/>
      <c r="C90" s="52"/>
      <c r="D90" s="52"/>
      <c r="E90" s="52"/>
      <c r="F90" s="53"/>
      <c r="G90" s="36"/>
      <c r="H90" s="53"/>
      <c r="J90" s="25"/>
      <c r="K90" s="25"/>
      <c r="L90" s="52"/>
      <c r="M90" s="25"/>
      <c r="P90" s="63"/>
      <c r="S90" s="11"/>
      <c r="T90" s="11"/>
      <c r="U90" s="11"/>
      <c r="V90" s="11"/>
      <c r="W90" s="11"/>
      <c r="X90" s="11"/>
      <c r="Y90" s="11"/>
      <c r="Z90" s="11"/>
      <c r="AA90" s="11"/>
      <c r="AB90" s="11"/>
      <c r="AC90" s="11"/>
      <c r="AD90" s="11"/>
      <c r="AE90" s="11"/>
      <c r="AF90" s="11"/>
      <c r="AG90" s="11"/>
      <c r="AH90" s="11"/>
      <c r="AI90" s="11"/>
      <c r="AJ90" s="11"/>
      <c r="AM90" s="87"/>
      <c r="AN90" s="80"/>
      <c r="AO90" s="75"/>
      <c r="AP90" s="75"/>
      <c r="AQ90" s="75"/>
      <c r="AR90" s="75"/>
      <c r="AS90" s="75"/>
      <c r="AT90" s="75"/>
    </row>
    <row r="91" spans="1:46" ht="13.5" thickBot="1" x14ac:dyDescent="0.25">
      <c r="B91" s="44"/>
      <c r="C91" s="39"/>
      <c r="D91" s="25"/>
      <c r="E91" s="25"/>
      <c r="K91" s="28"/>
      <c r="L91" s="34"/>
      <c r="M91" s="25"/>
      <c r="P91" s="63"/>
      <c r="S91" s="11"/>
      <c r="T91" s="11"/>
      <c r="U91" s="11"/>
      <c r="V91" s="11"/>
      <c r="W91" s="11"/>
      <c r="X91" s="11"/>
      <c r="Y91" s="11"/>
      <c r="Z91" s="11"/>
      <c r="AA91" s="11"/>
      <c r="AB91" s="11"/>
      <c r="AC91" s="11"/>
      <c r="AD91" s="11"/>
      <c r="AE91" s="11"/>
      <c r="AF91" s="11"/>
      <c r="AG91" s="11"/>
      <c r="AH91" s="11"/>
      <c r="AI91" s="11"/>
      <c r="AJ91" s="11"/>
      <c r="AM91" s="75"/>
      <c r="AN91" s="75"/>
      <c r="AO91" s="75"/>
      <c r="AP91" s="75"/>
      <c r="AQ91" s="75"/>
      <c r="AR91" s="75"/>
      <c r="AS91" s="75"/>
      <c r="AT91" s="75"/>
    </row>
    <row r="92" spans="1:46" ht="13.5" thickTop="1" x14ac:dyDescent="0.2">
      <c r="C92" s="709" t="s">
        <v>552</v>
      </c>
      <c r="D92" s="710"/>
      <c r="E92" s="710"/>
      <c r="F92" s="710"/>
      <c r="G92" s="710"/>
      <c r="H92" s="710"/>
      <c r="I92" s="710"/>
      <c r="J92" s="710"/>
      <c r="K92" s="710"/>
      <c r="L92" s="710"/>
      <c r="M92" s="710"/>
      <c r="N92" s="710"/>
      <c r="P92" s="62"/>
      <c r="Q92" s="25"/>
      <c r="R92" s="25"/>
      <c r="S92" s="25"/>
      <c r="T92" s="25"/>
      <c r="U92" s="25"/>
      <c r="V92" s="25"/>
      <c r="W92" s="25"/>
      <c r="X92" s="25"/>
      <c r="Y92" s="25"/>
      <c r="Z92" s="25"/>
      <c r="AA92" s="25"/>
      <c r="AB92" s="45"/>
      <c r="AC92" s="45"/>
      <c r="AD92" s="45"/>
      <c r="AE92" s="45"/>
      <c r="AF92" s="45"/>
      <c r="AG92" s="45"/>
      <c r="AH92" s="45"/>
      <c r="AI92" s="45"/>
      <c r="AJ92" s="45"/>
      <c r="AM92" s="75"/>
      <c r="AN92" s="75"/>
      <c r="AO92" s="75"/>
      <c r="AP92" s="75"/>
      <c r="AQ92" s="75"/>
      <c r="AR92" s="75"/>
      <c r="AS92" s="75"/>
      <c r="AT92" s="75"/>
    </row>
    <row r="93" spans="1:46" ht="13.5" thickBot="1" x14ac:dyDescent="0.25">
      <c r="C93" s="711"/>
      <c r="D93" s="711"/>
      <c r="E93" s="711"/>
      <c r="F93" s="711"/>
      <c r="G93" s="711"/>
      <c r="H93" s="711"/>
      <c r="I93" s="711"/>
      <c r="J93" s="711"/>
      <c r="K93" s="711"/>
      <c r="L93" s="711"/>
      <c r="M93" s="711"/>
      <c r="N93" s="711"/>
      <c r="P93" s="63"/>
      <c r="S93" s="11"/>
      <c r="T93" s="11"/>
      <c r="U93" s="11"/>
      <c r="V93" s="11"/>
      <c r="W93" s="11"/>
      <c r="X93" s="11"/>
      <c r="Y93" s="11"/>
      <c r="Z93" s="11"/>
      <c r="AA93" s="11"/>
      <c r="AB93" s="11"/>
      <c r="AC93" s="11"/>
      <c r="AD93" s="11"/>
      <c r="AE93" s="11"/>
      <c r="AF93" s="11"/>
      <c r="AG93" s="11"/>
      <c r="AH93" s="11"/>
      <c r="AI93" s="11"/>
      <c r="AJ93" s="11"/>
      <c r="AM93" s="75"/>
      <c r="AN93" s="75"/>
      <c r="AO93" s="75"/>
      <c r="AP93" s="75"/>
      <c r="AQ93" s="75"/>
      <c r="AR93" s="75"/>
      <c r="AS93" s="75"/>
      <c r="AT93" s="75"/>
    </row>
    <row r="94" spans="1:46" x14ac:dyDescent="0.2">
      <c r="C94" s="728" t="s">
        <v>16</v>
      </c>
      <c r="D94" s="721"/>
      <c r="E94" s="720" t="s">
        <v>17</v>
      </c>
      <c r="F94" s="721"/>
      <c r="G94" s="720" t="s">
        <v>18</v>
      </c>
      <c r="H94" s="721"/>
      <c r="I94" s="720" t="s">
        <v>19</v>
      </c>
      <c r="J94" s="721"/>
      <c r="K94" s="720" t="s">
        <v>20</v>
      </c>
      <c r="L94" s="721"/>
      <c r="M94" s="704" t="s">
        <v>21</v>
      </c>
      <c r="N94" s="705"/>
      <c r="P94" s="63"/>
      <c r="S94" s="65"/>
      <c r="T94" s="11"/>
      <c r="U94" s="11"/>
      <c r="V94" s="11"/>
      <c r="W94" s="11"/>
      <c r="X94" s="11"/>
      <c r="Y94" s="11"/>
      <c r="Z94" s="11"/>
      <c r="AA94" s="11"/>
      <c r="AB94" s="65"/>
      <c r="AC94" s="11"/>
      <c r="AD94" s="11"/>
      <c r="AE94" s="11"/>
      <c r="AF94" s="11"/>
      <c r="AG94" s="11"/>
      <c r="AH94" s="11"/>
      <c r="AI94" s="11"/>
      <c r="AJ94" s="11"/>
      <c r="AM94" s="43"/>
      <c r="AN94" s="37"/>
      <c r="AO94" s="37"/>
      <c r="AP94" s="37"/>
      <c r="AQ94" s="37"/>
      <c r="AR94" s="37"/>
      <c r="AS94" s="69"/>
    </row>
    <row r="95" spans="1:46" ht="14.25" x14ac:dyDescent="0.25">
      <c r="C95" s="726" t="s">
        <v>43</v>
      </c>
      <c r="D95" s="727"/>
      <c r="E95" s="718" t="s">
        <v>130</v>
      </c>
      <c r="F95" s="719"/>
      <c r="G95" s="718" t="s">
        <v>535</v>
      </c>
      <c r="H95" s="719"/>
      <c r="I95" s="718" t="s">
        <v>538</v>
      </c>
      <c r="J95" s="719"/>
      <c r="K95" s="706" t="s">
        <v>604</v>
      </c>
      <c r="L95" s="707"/>
      <c r="M95" s="706" t="s">
        <v>131</v>
      </c>
      <c r="N95" s="708"/>
      <c r="P95" s="63"/>
      <c r="S95" s="65"/>
      <c r="T95" s="11"/>
      <c r="U95" s="11"/>
      <c r="V95" s="11"/>
      <c r="W95" s="11"/>
      <c r="X95" s="11"/>
      <c r="Y95" s="11"/>
      <c r="Z95" s="11"/>
      <c r="AA95" s="11"/>
      <c r="AB95" s="65"/>
      <c r="AC95" s="11"/>
      <c r="AD95" s="11"/>
      <c r="AE95" s="11"/>
      <c r="AF95" s="11"/>
      <c r="AG95" s="11"/>
      <c r="AH95" s="11"/>
      <c r="AI95" s="11"/>
      <c r="AJ95" s="11"/>
      <c r="AM95" s="43"/>
      <c r="AN95" s="37"/>
      <c r="AO95" s="37"/>
      <c r="AP95" s="37"/>
      <c r="AQ95" s="37"/>
      <c r="AR95" s="37"/>
      <c r="AS95" s="69"/>
    </row>
    <row r="96" spans="1:46" ht="15.75" x14ac:dyDescent="0.2">
      <c r="C96" s="714" t="s">
        <v>35</v>
      </c>
      <c r="D96" s="715"/>
      <c r="E96" s="712" t="s">
        <v>138</v>
      </c>
      <c r="F96" s="732"/>
      <c r="G96" s="712" t="s">
        <v>553</v>
      </c>
      <c r="H96" s="732"/>
      <c r="I96" s="712" t="s">
        <v>554</v>
      </c>
      <c r="J96" s="732"/>
      <c r="K96" s="712" t="s">
        <v>555</v>
      </c>
      <c r="L96" s="713"/>
      <c r="M96" s="702" t="s">
        <v>542</v>
      </c>
      <c r="N96" s="703"/>
      <c r="P96" s="63"/>
      <c r="S96" s="65"/>
      <c r="T96" s="11"/>
      <c r="U96" s="11"/>
      <c r="V96" s="11"/>
      <c r="W96" s="11"/>
      <c r="X96" s="11"/>
      <c r="Y96" s="11"/>
      <c r="Z96" s="11"/>
      <c r="AA96" s="11"/>
      <c r="AB96" s="65"/>
      <c r="AC96" s="11"/>
      <c r="AD96" s="11"/>
      <c r="AE96" s="11"/>
      <c r="AF96" s="11"/>
      <c r="AG96" s="11"/>
      <c r="AH96" s="11"/>
      <c r="AI96" s="11"/>
      <c r="AJ96" s="11"/>
      <c r="AM96" s="43"/>
      <c r="AN96" s="37"/>
      <c r="AO96" s="37"/>
      <c r="AP96" s="37"/>
      <c r="AQ96" s="37"/>
      <c r="AR96" s="37"/>
      <c r="AS96" s="69"/>
    </row>
    <row r="97" spans="1:54" x14ac:dyDescent="0.2">
      <c r="C97" s="716"/>
      <c r="D97" s="717"/>
      <c r="E97" s="321">
        <f ca="1">+D62</f>
        <v>2.5087519245332009E-3</v>
      </c>
      <c r="F97" s="733"/>
      <c r="G97" s="722">
        <f ca="1">+I88</f>
        <v>5.2683790415197219E-5</v>
      </c>
      <c r="H97" s="735"/>
      <c r="I97" s="722">
        <f ca="1">+J88</f>
        <v>4.0140030792531216E-5</v>
      </c>
      <c r="J97" s="723"/>
      <c r="K97" s="318">
        <f ca="1">+O62</f>
        <v>16.308173087305224</v>
      </c>
      <c r="L97" s="701"/>
      <c r="M97" s="318">
        <f ca="1">+G97+I97+K97</f>
        <v>16.308265911126433</v>
      </c>
      <c r="N97" s="701"/>
      <c r="P97" s="63"/>
      <c r="S97" s="11"/>
      <c r="T97" s="11"/>
      <c r="U97" s="11"/>
      <c r="V97" s="11"/>
      <c r="W97" s="11"/>
      <c r="X97" s="11"/>
      <c r="Y97" s="11"/>
      <c r="Z97" s="11"/>
      <c r="AA97" s="11"/>
      <c r="AB97" s="11"/>
      <c r="AC97" s="11"/>
      <c r="AD97" s="11"/>
      <c r="AE97" s="11"/>
      <c r="AF97" s="11"/>
      <c r="AG97" s="11"/>
      <c r="AH97" s="11"/>
      <c r="AI97" s="11"/>
      <c r="AJ97" s="11"/>
      <c r="AM97" s="37"/>
      <c r="AN97" s="37"/>
      <c r="AO97" s="37"/>
      <c r="AP97" s="37"/>
      <c r="AQ97" s="37"/>
      <c r="AR97" s="37"/>
      <c r="AS97" s="69"/>
      <c r="AT97" s="48"/>
      <c r="AU97" s="48"/>
      <c r="AV97" s="48"/>
      <c r="AW97" s="48"/>
      <c r="AX97" s="48"/>
      <c r="AY97" s="48"/>
      <c r="AZ97" s="48"/>
      <c r="BA97" s="48"/>
      <c r="BB97" s="48"/>
    </row>
    <row r="98" spans="1:54" ht="15.75" x14ac:dyDescent="0.2">
      <c r="C98" s="714" t="s">
        <v>133</v>
      </c>
      <c r="D98" s="715"/>
      <c r="E98" s="712" t="s">
        <v>139</v>
      </c>
      <c r="F98" s="732"/>
      <c r="G98" s="712" t="s">
        <v>553</v>
      </c>
      <c r="H98" s="732"/>
      <c r="I98" s="712" t="s">
        <v>554</v>
      </c>
      <c r="J98" s="732"/>
      <c r="K98" s="712" t="s">
        <v>541</v>
      </c>
      <c r="L98" s="713"/>
      <c r="M98" s="702" t="s">
        <v>542</v>
      </c>
      <c r="N98" s="703"/>
      <c r="P98" s="63"/>
      <c r="S98" s="11"/>
      <c r="T98" s="11"/>
      <c r="U98" s="11"/>
      <c r="V98" s="11"/>
      <c r="W98" s="11"/>
      <c r="X98" s="11"/>
      <c r="Y98" s="11"/>
      <c r="Z98" s="11"/>
      <c r="AA98" s="11"/>
      <c r="AB98" s="11"/>
      <c r="AC98" s="11"/>
      <c r="AD98" s="11"/>
      <c r="AE98" s="11"/>
      <c r="AF98" s="11"/>
      <c r="AG98" s="11"/>
      <c r="AH98" s="11"/>
      <c r="AI98" s="11"/>
      <c r="AJ98" s="11"/>
      <c r="AM98" s="35"/>
      <c r="AP98" s="45"/>
      <c r="AT98" s="25"/>
      <c r="AY98" s="25"/>
      <c r="AZ98" s="25"/>
      <c r="BA98" s="25"/>
      <c r="BB98" s="25"/>
    </row>
    <row r="99" spans="1:54" x14ac:dyDescent="0.2">
      <c r="C99" s="716"/>
      <c r="D99" s="717"/>
      <c r="E99" s="321">
        <f ca="1">+E62</f>
        <v>1.4504657392100495E-3</v>
      </c>
      <c r="F99" s="733"/>
      <c r="G99" s="706">
        <f ca="1">+I88</f>
        <v>5.2683790415197219E-5</v>
      </c>
      <c r="H99" s="708"/>
      <c r="I99" s="706">
        <f ca="1">+J88</f>
        <v>4.0140030792531216E-5</v>
      </c>
      <c r="J99" s="707"/>
      <c r="K99" s="318">
        <f ca="1">+$K$97*$E$99/$E$97</f>
        <v>9.4287705774834425</v>
      </c>
      <c r="L99" s="701"/>
      <c r="M99" s="318">
        <f ca="1">+G99+I99+K99</f>
        <v>9.4288634013046497</v>
      </c>
      <c r="N99" s="701"/>
      <c r="P99" s="63"/>
      <c r="S99" s="11"/>
      <c r="T99" s="11"/>
      <c r="U99" s="11"/>
      <c r="V99" s="11"/>
      <c r="W99" s="11"/>
      <c r="X99" s="11"/>
      <c r="Y99" s="11"/>
      <c r="Z99" s="11"/>
      <c r="AA99" s="11"/>
      <c r="AB99" s="11"/>
      <c r="AC99" s="11"/>
      <c r="AD99" s="11"/>
      <c r="AE99" s="11"/>
      <c r="AF99" s="11"/>
      <c r="AG99" s="11"/>
      <c r="AH99" s="11"/>
      <c r="AI99" s="11"/>
      <c r="AJ99" s="11"/>
      <c r="AM99" s="47"/>
      <c r="AN99" s="44"/>
      <c r="AO99" s="25"/>
      <c r="AP99" s="46"/>
      <c r="AQ99" s="45"/>
      <c r="AR99" s="48"/>
      <c r="AT99" s="45"/>
      <c r="AY99" s="45"/>
      <c r="AZ99" s="45"/>
      <c r="BA99" s="45"/>
    </row>
    <row r="100" spans="1:54" ht="15.75" x14ac:dyDescent="0.2">
      <c r="C100" s="714" t="s">
        <v>134</v>
      </c>
      <c r="D100" s="729"/>
      <c r="E100" s="712" t="s">
        <v>140</v>
      </c>
      <c r="F100" s="732"/>
      <c r="G100" s="741" t="s">
        <v>14</v>
      </c>
      <c r="H100" s="732"/>
      <c r="I100" s="741" t="s">
        <v>14</v>
      </c>
      <c r="J100" s="732"/>
      <c r="K100" s="712" t="s">
        <v>540</v>
      </c>
      <c r="L100" s="713"/>
      <c r="M100" s="702" t="s">
        <v>542</v>
      </c>
      <c r="N100" s="703"/>
      <c r="P100" s="63"/>
      <c r="S100" s="11"/>
      <c r="T100" s="11"/>
      <c r="U100" s="11"/>
      <c r="V100" s="11"/>
      <c r="W100" s="11"/>
      <c r="X100" s="11"/>
      <c r="Y100" s="11"/>
      <c r="Z100" s="11"/>
      <c r="AA100" s="11"/>
      <c r="AB100" s="11"/>
      <c r="AC100" s="11"/>
      <c r="AD100" s="11"/>
      <c r="AE100" s="11"/>
      <c r="AF100" s="11"/>
      <c r="AG100" s="11"/>
      <c r="AH100" s="11"/>
      <c r="AI100" s="11"/>
      <c r="AJ100" s="11"/>
      <c r="AM100" s="39"/>
      <c r="AN100" s="25"/>
      <c r="AP100" s="49"/>
      <c r="AQ100" s="25"/>
      <c r="AR100" s="49"/>
      <c r="AS100" s="49"/>
      <c r="AY100" s="45"/>
      <c r="AZ100" s="45"/>
      <c r="BA100" s="45"/>
    </row>
    <row r="101" spans="1:54" ht="13.5" thickBot="1" x14ac:dyDescent="0.25">
      <c r="C101" s="730"/>
      <c r="D101" s="731"/>
      <c r="E101" s="317">
        <f ca="1">+F62</f>
        <v>1.0582861853231517E-3</v>
      </c>
      <c r="F101" s="734"/>
      <c r="G101" s="739">
        <v>0</v>
      </c>
      <c r="H101" s="740"/>
      <c r="I101" s="739">
        <v>0</v>
      </c>
      <c r="J101" s="740"/>
      <c r="K101" s="312">
        <f ca="1">+$K$97*$E$101/$E$97</f>
        <v>6.8794025098217837</v>
      </c>
      <c r="L101" s="313"/>
      <c r="M101" s="312">
        <f ca="1">+G101+I101+K101</f>
        <v>6.8794025098217837</v>
      </c>
      <c r="N101" s="700"/>
      <c r="P101" s="63"/>
      <c r="S101" s="11"/>
      <c r="T101" s="11"/>
      <c r="U101" s="11"/>
      <c r="V101" s="11"/>
      <c r="W101" s="11"/>
      <c r="X101" s="11"/>
      <c r="Y101" s="11"/>
      <c r="Z101" s="11"/>
      <c r="AA101" s="11"/>
      <c r="AB101" s="11"/>
      <c r="AC101" s="11"/>
      <c r="AD101" s="11"/>
      <c r="AE101" s="11"/>
      <c r="AF101" s="11"/>
      <c r="AG101" s="11"/>
      <c r="AH101" s="11"/>
      <c r="AI101" s="11"/>
      <c r="AJ101" s="11"/>
      <c r="AM101" s="39"/>
      <c r="AN101" s="25"/>
      <c r="AP101" s="49"/>
      <c r="AQ101" s="25"/>
      <c r="AR101" s="49"/>
      <c r="AS101" s="49"/>
      <c r="AY101" s="45"/>
      <c r="AZ101" s="45"/>
      <c r="BA101" s="46"/>
    </row>
    <row r="102" spans="1:54" x14ac:dyDescent="0.2">
      <c r="A102" s="43"/>
      <c r="C102" s="33"/>
      <c r="D102" s="33"/>
      <c r="E102" s="33"/>
      <c r="F102" s="38"/>
      <c r="G102" s="33"/>
      <c r="H102" s="33"/>
      <c r="I102" s="38"/>
      <c r="K102" s="25"/>
      <c r="L102" s="25"/>
      <c r="M102" s="25"/>
      <c r="AM102" s="39"/>
      <c r="AN102" s="25"/>
      <c r="AP102" s="34"/>
      <c r="AQ102" s="25"/>
      <c r="AR102" s="49"/>
      <c r="AS102" s="49"/>
      <c r="AY102" s="25"/>
      <c r="AZ102" s="32"/>
      <c r="BA102" s="30"/>
    </row>
    <row r="103" spans="1:54" x14ac:dyDescent="0.2">
      <c r="A103" s="25"/>
      <c r="B103" s="25"/>
      <c r="C103" s="25"/>
      <c r="F103" s="25"/>
      <c r="G103" s="25"/>
      <c r="H103" s="25"/>
      <c r="I103" s="25"/>
      <c r="J103" s="25"/>
      <c r="K103" s="25"/>
      <c r="L103" s="25"/>
      <c r="M103" s="25"/>
    </row>
    <row r="104" spans="1:54" x14ac:dyDescent="0.2">
      <c r="A104" s="25"/>
      <c r="B104" s="25"/>
      <c r="C104" s="53"/>
      <c r="D104" s="77"/>
      <c r="E104" s="54"/>
      <c r="F104" s="53"/>
      <c r="G104" s="77"/>
      <c r="H104" s="54"/>
      <c r="I104" s="53"/>
      <c r="J104" s="77"/>
      <c r="K104" s="53"/>
      <c r="L104" s="77"/>
      <c r="M104" s="54"/>
    </row>
    <row r="105" spans="1:54" x14ac:dyDescent="0.2">
      <c r="A105" s="25"/>
      <c r="B105" s="25"/>
      <c r="C105" s="25"/>
      <c r="D105" s="25"/>
      <c r="E105" s="25"/>
      <c r="F105" s="25"/>
      <c r="G105" s="25"/>
      <c r="H105" s="25"/>
      <c r="I105" s="25"/>
      <c r="J105" s="25"/>
      <c r="K105" s="25"/>
      <c r="L105" s="25"/>
      <c r="M105" s="25"/>
    </row>
    <row r="106" spans="1:54" x14ac:dyDescent="0.2">
      <c r="C106" s="34"/>
      <c r="D106" s="34"/>
      <c r="E106" s="34"/>
      <c r="F106" s="34"/>
      <c r="G106" s="34"/>
      <c r="H106" s="34"/>
      <c r="I106" s="34"/>
      <c r="J106" s="34"/>
      <c r="K106" s="34"/>
      <c r="L106" s="34"/>
      <c r="M106" s="34"/>
    </row>
    <row r="107" spans="1:54" x14ac:dyDescent="0.2">
      <c r="A107" s="28"/>
      <c r="B107" s="28"/>
      <c r="C107" s="28"/>
      <c r="D107" s="52"/>
      <c r="E107" s="28"/>
      <c r="F107" s="28"/>
      <c r="G107" s="38"/>
      <c r="I107" s="28"/>
      <c r="J107" s="52"/>
      <c r="K107" s="28"/>
      <c r="L107" s="52"/>
      <c r="M107" s="25"/>
    </row>
    <row r="108" spans="1:54" x14ac:dyDescent="0.2">
      <c r="A108" s="58"/>
      <c r="C108" s="34"/>
      <c r="D108" s="34"/>
      <c r="E108" s="34"/>
      <c r="F108" s="34"/>
      <c r="G108" s="34"/>
      <c r="H108" s="34"/>
      <c r="I108" s="34"/>
      <c r="J108" s="34"/>
      <c r="K108" s="34"/>
      <c r="L108" s="34"/>
      <c r="M108" s="34"/>
    </row>
    <row r="109" spans="1:54" x14ac:dyDescent="0.2">
      <c r="A109" s="58"/>
      <c r="C109" s="34"/>
      <c r="D109" s="34"/>
      <c r="E109" s="34"/>
      <c r="F109" s="34"/>
      <c r="G109" s="34"/>
      <c r="H109" s="34"/>
      <c r="I109" s="34"/>
      <c r="J109" s="34"/>
      <c r="K109" s="34"/>
      <c r="L109" s="34"/>
      <c r="M109" s="34"/>
    </row>
    <row r="110" spans="1:54" x14ac:dyDescent="0.2">
      <c r="A110" s="47"/>
      <c r="C110" s="34"/>
      <c r="D110" s="34"/>
      <c r="E110" s="34"/>
      <c r="F110" s="34"/>
      <c r="G110" s="34"/>
      <c r="H110" s="34"/>
      <c r="I110" s="34"/>
      <c r="J110" s="34"/>
      <c r="K110" s="34"/>
      <c r="L110" s="34"/>
      <c r="M110" s="34"/>
    </row>
    <row r="111" spans="1:54" x14ac:dyDescent="0.2">
      <c r="A111" s="58"/>
      <c r="C111" s="34"/>
      <c r="D111" s="34"/>
      <c r="E111" s="34"/>
      <c r="F111" s="34"/>
      <c r="G111" s="34"/>
      <c r="H111" s="34"/>
      <c r="I111" s="34"/>
      <c r="J111" s="34"/>
      <c r="K111" s="34"/>
      <c r="L111" s="34"/>
      <c r="M111" s="34"/>
    </row>
    <row r="112" spans="1:54" x14ac:dyDescent="0.2">
      <c r="A112" s="58"/>
      <c r="C112" s="34"/>
    </row>
    <row r="113" spans="1:14" x14ac:dyDescent="0.2">
      <c r="A113" s="58"/>
      <c r="C113" s="34"/>
    </row>
    <row r="114" spans="1:14" x14ac:dyDescent="0.2">
      <c r="A114" s="73"/>
      <c r="B114" s="44"/>
      <c r="C114" s="44"/>
    </row>
    <row r="115" spans="1:14" x14ac:dyDescent="0.2">
      <c r="C115" s="34"/>
    </row>
    <row r="116" spans="1:14" x14ac:dyDescent="0.2">
      <c r="A116" s="45"/>
      <c r="B116" s="25"/>
      <c r="C116" s="25"/>
    </row>
    <row r="118" spans="1:14" x14ac:dyDescent="0.2">
      <c r="A118" s="35"/>
      <c r="B118" s="35"/>
      <c r="C118" s="35"/>
    </row>
    <row r="119" spans="1:14" x14ac:dyDescent="0.2">
      <c r="A119" s="33"/>
      <c r="B119" s="33"/>
      <c r="C119" s="33"/>
    </row>
    <row r="120" spans="1:14" x14ac:dyDescent="0.2">
      <c r="A120" s="43"/>
      <c r="B120" s="43"/>
      <c r="C120" s="43"/>
    </row>
    <row r="121" spans="1:14" x14ac:dyDescent="0.2">
      <c r="A121" s="69"/>
      <c r="B121" s="69"/>
      <c r="C121" s="69"/>
    </row>
    <row r="122" spans="1:14" x14ac:dyDescent="0.2">
      <c r="A122" s="44"/>
      <c r="B122" s="44"/>
      <c r="C122" s="44"/>
      <c r="E122" s="34"/>
      <c r="F122" s="25"/>
      <c r="G122" s="25"/>
      <c r="H122" s="25"/>
      <c r="I122" s="11"/>
      <c r="J122" s="11"/>
      <c r="K122" s="11"/>
      <c r="L122" s="11"/>
      <c r="M122" s="11"/>
    </row>
    <row r="123" spans="1:14" x14ac:dyDescent="0.2">
      <c r="A123" s="44"/>
      <c r="B123" s="44"/>
      <c r="C123" s="44"/>
      <c r="E123" s="34"/>
      <c r="F123" s="25"/>
      <c r="G123" s="25"/>
      <c r="H123" s="25"/>
      <c r="I123" s="11"/>
      <c r="J123" s="11"/>
      <c r="K123" s="11"/>
      <c r="L123" s="11"/>
      <c r="M123" s="11"/>
    </row>
    <row r="124" spans="1:14" x14ac:dyDescent="0.2">
      <c r="A124" s="47"/>
      <c r="B124" s="44"/>
      <c r="C124" s="44"/>
      <c r="E124" s="34"/>
      <c r="F124" s="25"/>
      <c r="G124" s="25"/>
      <c r="H124" s="25"/>
      <c r="I124" s="11"/>
      <c r="J124" s="11"/>
      <c r="K124" s="11"/>
      <c r="L124" s="11"/>
      <c r="M124" s="11"/>
    </row>
    <row r="125" spans="1:14" x14ac:dyDescent="0.2">
      <c r="A125" s="44"/>
      <c r="B125" s="44"/>
      <c r="C125" s="44"/>
      <c r="E125" s="34"/>
      <c r="F125" s="25"/>
      <c r="G125" s="25"/>
      <c r="H125" s="25"/>
      <c r="I125" s="11"/>
      <c r="J125" s="11"/>
      <c r="K125" s="11"/>
      <c r="L125" s="11"/>
      <c r="M125" s="11"/>
    </row>
    <row r="126" spans="1:14" x14ac:dyDescent="0.2">
      <c r="A126" s="73"/>
      <c r="B126" s="44"/>
      <c r="C126" s="44"/>
      <c r="D126" s="44"/>
      <c r="E126" s="44"/>
      <c r="F126" s="44"/>
      <c r="G126" s="44"/>
      <c r="H126" s="44"/>
      <c r="I126" s="44"/>
      <c r="J126" s="44"/>
      <c r="K126" s="44"/>
      <c r="L126" s="44"/>
      <c r="M126" s="44"/>
      <c r="N126" s="44"/>
    </row>
    <row r="131" spans="1:13" x14ac:dyDescent="0.2">
      <c r="A131" s="33"/>
      <c r="B131" s="33"/>
      <c r="C131" s="33"/>
      <c r="D131" s="33"/>
      <c r="E131" s="33"/>
      <c r="F131" s="33"/>
      <c r="G131" s="33"/>
      <c r="H131" s="33"/>
      <c r="I131" s="33"/>
      <c r="J131" s="33"/>
      <c r="K131" s="33"/>
      <c r="L131" s="33"/>
      <c r="M131" s="33"/>
    </row>
    <row r="132" spans="1:13" x14ac:dyDescent="0.2">
      <c r="A132" s="42"/>
      <c r="B132" s="42"/>
      <c r="C132" s="42"/>
      <c r="D132" s="43"/>
      <c r="E132" s="43"/>
      <c r="F132" s="43"/>
      <c r="G132" s="43"/>
      <c r="I132" s="43"/>
      <c r="J132" s="43"/>
      <c r="K132" s="43"/>
      <c r="L132" s="43"/>
      <c r="M132" s="43"/>
    </row>
    <row r="133" spans="1:13" x14ac:dyDescent="0.2">
      <c r="A133" s="42"/>
      <c r="B133" s="42"/>
      <c r="C133" s="42"/>
      <c r="D133" s="33"/>
      <c r="G133" s="33"/>
      <c r="H133" s="33"/>
      <c r="I133" s="33"/>
      <c r="J133" s="43"/>
      <c r="K133" s="43"/>
      <c r="L133" s="33"/>
      <c r="M133" s="33"/>
    </row>
    <row r="134" spans="1:13" x14ac:dyDescent="0.2">
      <c r="A134" s="44"/>
      <c r="B134" s="44"/>
      <c r="C134" s="44"/>
      <c r="D134" s="34"/>
      <c r="E134" s="25"/>
      <c r="F134" s="25"/>
      <c r="G134" s="34"/>
      <c r="H134" s="25"/>
      <c r="I134" s="25"/>
      <c r="J134" s="25"/>
      <c r="K134" s="25"/>
      <c r="L134" s="11"/>
      <c r="M134" s="11"/>
    </row>
    <row r="135" spans="1:13" x14ac:dyDescent="0.2">
      <c r="A135" s="44"/>
      <c r="B135" s="44"/>
      <c r="C135" s="44"/>
      <c r="D135" s="34"/>
      <c r="E135" s="25"/>
      <c r="F135" s="25"/>
      <c r="G135" s="34"/>
      <c r="H135" s="25"/>
      <c r="I135" s="25"/>
      <c r="J135" s="25"/>
      <c r="K135" s="25"/>
      <c r="L135" s="11"/>
      <c r="M135" s="11"/>
    </row>
    <row r="136" spans="1:13" x14ac:dyDescent="0.2">
      <c r="A136" s="44"/>
      <c r="B136" s="44"/>
      <c r="C136" s="44"/>
      <c r="D136" s="34"/>
      <c r="E136" s="25"/>
      <c r="F136" s="25"/>
      <c r="G136" s="34"/>
      <c r="H136" s="25"/>
      <c r="I136" s="25"/>
      <c r="J136" s="25"/>
      <c r="K136" s="25"/>
      <c r="L136" s="11"/>
      <c r="M136" s="11"/>
    </row>
  </sheetData>
  <mergeCells count="144">
    <mergeCell ref="B11:O11"/>
    <mergeCell ref="C98:D99"/>
    <mergeCell ref="E98:F98"/>
    <mergeCell ref="G98:H98"/>
    <mergeCell ref="I98:J98"/>
    <mergeCell ref="K98:L98"/>
    <mergeCell ref="M98:N98"/>
    <mergeCell ref="M99:N99"/>
    <mergeCell ref="M96:N96"/>
    <mergeCell ref="E97:F97"/>
    <mergeCell ref="G97:H97"/>
    <mergeCell ref="I97:J97"/>
    <mergeCell ref="K97:L97"/>
    <mergeCell ref="M97:N97"/>
    <mergeCell ref="E99:F99"/>
    <mergeCell ref="G99:H99"/>
    <mergeCell ref="I99:J99"/>
    <mergeCell ref="K99:L99"/>
    <mergeCell ref="B37:C37"/>
    <mergeCell ref="G74:H74"/>
    <mergeCell ref="B18:C18"/>
    <mergeCell ref="B42:O42"/>
    <mergeCell ref="B52:O52"/>
    <mergeCell ref="G66:J67"/>
    <mergeCell ref="J8:J9"/>
    <mergeCell ref="B19:C19"/>
    <mergeCell ref="F8:F9"/>
    <mergeCell ref="L8:L9"/>
    <mergeCell ref="K95:L95"/>
    <mergeCell ref="M95:N95"/>
    <mergeCell ref="C96:D97"/>
    <mergeCell ref="E96:F96"/>
    <mergeCell ref="G96:H96"/>
    <mergeCell ref="I96:J96"/>
    <mergeCell ref="K96:L96"/>
    <mergeCell ref="B54:C54"/>
    <mergeCell ref="B41:O41"/>
    <mergeCell ref="B39:C39"/>
    <mergeCell ref="B49:C49"/>
    <mergeCell ref="B50:C50"/>
    <mergeCell ref="H6:H9"/>
    <mergeCell ref="J6:J7"/>
    <mergeCell ref="K6:K7"/>
    <mergeCell ref="L6:L7"/>
    <mergeCell ref="K8:K9"/>
    <mergeCell ref="B28:C28"/>
    <mergeCell ref="B29:C29"/>
    <mergeCell ref="B21:O21"/>
    <mergeCell ref="B3:O4"/>
    <mergeCell ref="O6:O7"/>
    <mergeCell ref="O8:O9"/>
    <mergeCell ref="B32:C32"/>
    <mergeCell ref="B33:C33"/>
    <mergeCell ref="B38:C38"/>
    <mergeCell ref="D8:D9"/>
    <mergeCell ref="N8:N9"/>
    <mergeCell ref="B10:O10"/>
    <mergeCell ref="B12:C12"/>
    <mergeCell ref="E8:E9"/>
    <mergeCell ref="D6:F7"/>
    <mergeCell ref="B6:C9"/>
    <mergeCell ref="B5:C5"/>
    <mergeCell ref="B13:C13"/>
    <mergeCell ref="B31:O31"/>
    <mergeCell ref="B22:C22"/>
    <mergeCell ref="G6:G9"/>
    <mergeCell ref="B23:C23"/>
    <mergeCell ref="N6:N7"/>
    <mergeCell ref="M8:M9"/>
    <mergeCell ref="M6:M7"/>
    <mergeCell ref="I8:I9"/>
    <mergeCell ref="I6:I7"/>
    <mergeCell ref="B62:C62"/>
    <mergeCell ref="B44:C44"/>
    <mergeCell ref="G68:H68"/>
    <mergeCell ref="B59:C59"/>
    <mergeCell ref="B60:C60"/>
    <mergeCell ref="B43:C43"/>
    <mergeCell ref="B53:C53"/>
    <mergeCell ref="B14:C14"/>
    <mergeCell ref="B15:C15"/>
    <mergeCell ref="B16:C16"/>
    <mergeCell ref="B17:C17"/>
    <mergeCell ref="B24:C24"/>
    <mergeCell ref="B25:C25"/>
    <mergeCell ref="B26:C26"/>
    <mergeCell ref="B27:C27"/>
    <mergeCell ref="B34:C34"/>
    <mergeCell ref="B35:C35"/>
    <mergeCell ref="B36:C36"/>
    <mergeCell ref="G77:H77"/>
    <mergeCell ref="C95:D95"/>
    <mergeCell ref="G78:H78"/>
    <mergeCell ref="G79:J79"/>
    <mergeCell ref="G80:H80"/>
    <mergeCell ref="G81:H81"/>
    <mergeCell ref="G86:H86"/>
    <mergeCell ref="G87:H87"/>
    <mergeCell ref="E95:F95"/>
    <mergeCell ref="G95:H95"/>
    <mergeCell ref="I95:J95"/>
    <mergeCell ref="G88:H88"/>
    <mergeCell ref="C92:N93"/>
    <mergeCell ref="C94:D94"/>
    <mergeCell ref="E94:F94"/>
    <mergeCell ref="G94:H94"/>
    <mergeCell ref="I94:J94"/>
    <mergeCell ref="K94:L94"/>
    <mergeCell ref="M94:N94"/>
    <mergeCell ref="C100:D101"/>
    <mergeCell ref="E100:F100"/>
    <mergeCell ref="G100:H100"/>
    <mergeCell ref="I100:J100"/>
    <mergeCell ref="K100:L100"/>
    <mergeCell ref="M101:N101"/>
    <mergeCell ref="M100:N100"/>
    <mergeCell ref="E101:F101"/>
    <mergeCell ref="G101:H101"/>
    <mergeCell ref="I101:J101"/>
    <mergeCell ref="K101:L101"/>
    <mergeCell ref="G75:H75"/>
    <mergeCell ref="G76:H76"/>
    <mergeCell ref="G82:H82"/>
    <mergeCell ref="G83:H83"/>
    <mergeCell ref="G84:H84"/>
    <mergeCell ref="G85:H85"/>
    <mergeCell ref="B20:C20"/>
    <mergeCell ref="B30:C30"/>
    <mergeCell ref="B40:C40"/>
    <mergeCell ref="B51:C51"/>
    <mergeCell ref="B61:C61"/>
    <mergeCell ref="B45:C45"/>
    <mergeCell ref="B46:C46"/>
    <mergeCell ref="B47:C47"/>
    <mergeCell ref="B48:C48"/>
    <mergeCell ref="B55:C55"/>
    <mergeCell ref="B56:C56"/>
    <mergeCell ref="B57:C57"/>
    <mergeCell ref="B58:C58"/>
    <mergeCell ref="G73:H73"/>
    <mergeCell ref="G69:H69"/>
    <mergeCell ref="G70:J70"/>
    <mergeCell ref="G71:H71"/>
    <mergeCell ref="G72:H72"/>
  </mergeCells>
  <dataValidations disablePrompts="1" count="1">
    <dataValidation type="list" allowBlank="1" showInputMessage="1" showErrorMessage="1" sqref="AO99 S44:S48 S7" xr:uid="{00000000-0002-0000-0400-000000000000}">
      <formula1>Local</formula1>
    </dataValidation>
  </dataValidations>
  <pageMargins left="0.7" right="0.7" top="0.75" bottom="0.75" header="0.3" footer="0.3"/>
  <pageSetup scale="69" fitToHeight="2" orientation="landscape" r:id="rId1"/>
  <headerFooter>
    <oddHeader>&amp;CUrban and Suburban Arterial Predictive Method</oddHeader>
    <oddFooter>&amp;R&amp;P</oddFooter>
  </headerFooter>
  <rowBreaks count="1" manualBreakCount="1">
    <brk id="64"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U128"/>
  <sheetViews>
    <sheetView workbookViewId="0"/>
  </sheetViews>
  <sheetFormatPr defaultRowHeight="12.75" x14ac:dyDescent="0.2"/>
  <cols>
    <col min="1" max="12" width="14.7109375" customWidth="1"/>
    <col min="13" max="13" width="13.7109375" customWidth="1"/>
    <col min="14" max="22" width="10.7109375" customWidth="1"/>
    <col min="23" max="35" width="12.7109375" customWidth="1"/>
    <col min="36" max="36" width="10.7109375" customWidth="1"/>
    <col min="37" max="42" width="12.7109375" customWidth="1"/>
    <col min="43" max="47" width="10.7109375" customWidth="1"/>
  </cols>
  <sheetData>
    <row r="1" spans="1:47" ht="13.5" thickBot="1" x14ac:dyDescent="0.25">
      <c r="A1" s="93" t="s">
        <v>447</v>
      </c>
      <c r="V1" s="29"/>
      <c r="W1" s="93" t="s">
        <v>470</v>
      </c>
      <c r="AB1" s="29"/>
      <c r="AC1" s="29"/>
      <c r="AD1" s="29"/>
    </row>
    <row r="2" spans="1:47" ht="13.5" thickTop="1" x14ac:dyDescent="0.2">
      <c r="A2" s="813" t="s">
        <v>559</v>
      </c>
      <c r="B2" s="813"/>
      <c r="C2" s="813"/>
      <c r="D2" s="813"/>
      <c r="E2" s="126"/>
      <c r="F2" s="126"/>
      <c r="G2" s="813" t="s">
        <v>562</v>
      </c>
      <c r="H2" s="813"/>
      <c r="I2" s="813"/>
      <c r="J2" s="813"/>
      <c r="K2" s="126"/>
      <c r="L2" s="126"/>
      <c r="M2" s="126"/>
      <c r="N2" s="813" t="s">
        <v>564</v>
      </c>
      <c r="O2" s="813"/>
      <c r="P2" s="813"/>
      <c r="Q2" s="813"/>
      <c r="R2" s="813"/>
      <c r="S2" s="813"/>
      <c r="T2" s="813"/>
      <c r="U2" s="126"/>
      <c r="V2" s="29"/>
      <c r="W2" s="867" t="s">
        <v>574</v>
      </c>
      <c r="X2" s="710"/>
      <c r="Y2" s="710"/>
      <c r="Z2" s="710"/>
      <c r="AA2" s="710"/>
      <c r="AB2" s="43"/>
      <c r="AC2" s="43"/>
      <c r="AD2" s="43"/>
      <c r="AP2" s="15"/>
      <c r="AQ2" s="29"/>
      <c r="AU2" s="15"/>
    </row>
    <row r="3" spans="1:47" ht="13.5" thickBot="1" x14ac:dyDescent="0.25">
      <c r="A3" s="814"/>
      <c r="B3" s="814"/>
      <c r="C3" s="814"/>
      <c r="D3" s="814"/>
      <c r="E3" s="126"/>
      <c r="F3" s="126"/>
      <c r="G3" s="814"/>
      <c r="H3" s="814"/>
      <c r="I3" s="814"/>
      <c r="J3" s="814"/>
      <c r="K3" s="126"/>
      <c r="L3" s="126"/>
      <c r="M3" s="126"/>
      <c r="N3" s="814"/>
      <c r="O3" s="814"/>
      <c r="P3" s="814"/>
      <c r="Q3" s="814"/>
      <c r="R3" s="814"/>
      <c r="S3" s="814"/>
      <c r="T3" s="814"/>
      <c r="U3" s="126"/>
      <c r="V3" s="29"/>
      <c r="W3" s="711"/>
      <c r="X3" s="711"/>
      <c r="Y3" s="711"/>
      <c r="Z3" s="711"/>
      <c r="AA3" s="711"/>
      <c r="AB3" s="43"/>
      <c r="AC3" s="43"/>
      <c r="AD3" s="43"/>
      <c r="AP3" s="15"/>
      <c r="AQ3" s="29"/>
      <c r="AU3" s="15"/>
    </row>
    <row r="4" spans="1:47" x14ac:dyDescent="0.2">
      <c r="A4" s="864" t="s">
        <v>225</v>
      </c>
      <c r="B4" s="141" t="s">
        <v>223</v>
      </c>
      <c r="C4" s="141"/>
      <c r="D4" s="861" t="s">
        <v>224</v>
      </c>
      <c r="E4" s="139"/>
      <c r="F4" s="139"/>
      <c r="G4" s="864" t="s">
        <v>225</v>
      </c>
      <c r="H4" s="141" t="s">
        <v>254</v>
      </c>
      <c r="I4" s="141"/>
      <c r="J4" s="861" t="s">
        <v>224</v>
      </c>
      <c r="K4" s="139"/>
      <c r="L4" s="139"/>
      <c r="M4" s="139"/>
      <c r="N4" s="874" t="s">
        <v>329</v>
      </c>
      <c r="O4" s="875"/>
      <c r="P4" s="791" t="s">
        <v>338</v>
      </c>
      <c r="Q4" s="791"/>
      <c r="R4" s="791"/>
      <c r="S4" s="791"/>
      <c r="T4" s="878"/>
      <c r="U4" s="139"/>
      <c r="V4" s="29"/>
      <c r="W4" s="872" t="s">
        <v>180</v>
      </c>
      <c r="X4" s="869" t="s">
        <v>175</v>
      </c>
      <c r="Y4" s="870"/>
      <c r="Z4" s="870"/>
      <c r="AA4" s="871"/>
      <c r="AB4" s="62"/>
      <c r="AC4" s="62"/>
      <c r="AD4" s="62"/>
      <c r="AP4" s="15"/>
      <c r="AQ4" s="29"/>
      <c r="AU4" s="15"/>
    </row>
    <row r="5" spans="1:47" x14ac:dyDescent="0.2">
      <c r="A5" s="865"/>
      <c r="B5" s="143" t="s">
        <v>228</v>
      </c>
      <c r="C5" s="142" t="s">
        <v>229</v>
      </c>
      <c r="D5" s="862"/>
      <c r="E5" s="129"/>
      <c r="F5" s="129"/>
      <c r="G5" s="865"/>
      <c r="H5" s="143" t="s">
        <v>228</v>
      </c>
      <c r="I5" s="142" t="s">
        <v>229</v>
      </c>
      <c r="J5" s="862"/>
      <c r="K5" s="129"/>
      <c r="L5" s="129"/>
      <c r="M5" s="129"/>
      <c r="N5" s="876"/>
      <c r="O5" s="877"/>
      <c r="P5" s="152" t="s">
        <v>167</v>
      </c>
      <c r="Q5" s="152" t="s">
        <v>166</v>
      </c>
      <c r="R5" s="152" t="s">
        <v>104</v>
      </c>
      <c r="S5" s="152" t="s">
        <v>107</v>
      </c>
      <c r="T5" s="154" t="s">
        <v>181</v>
      </c>
      <c r="U5" s="129"/>
      <c r="V5" s="29"/>
      <c r="W5" s="873"/>
      <c r="X5" s="778" t="s">
        <v>176</v>
      </c>
      <c r="Y5" s="486"/>
      <c r="Z5" s="778" t="s">
        <v>179</v>
      </c>
      <c r="AA5" s="826"/>
      <c r="AB5" s="62"/>
      <c r="AC5" s="29"/>
      <c r="AD5" s="45"/>
      <c r="AP5" s="15"/>
      <c r="AQ5" s="29"/>
      <c r="AU5" s="15"/>
    </row>
    <row r="6" spans="1:47" x14ac:dyDescent="0.2">
      <c r="A6" s="866"/>
      <c r="B6" s="144" t="s">
        <v>226</v>
      </c>
      <c r="C6" s="95" t="s">
        <v>227</v>
      </c>
      <c r="D6" s="863"/>
      <c r="E6" s="129"/>
      <c r="F6" s="129"/>
      <c r="G6" s="866"/>
      <c r="H6" s="144" t="s">
        <v>226</v>
      </c>
      <c r="I6" s="95" t="s">
        <v>227</v>
      </c>
      <c r="J6" s="863"/>
      <c r="K6" s="129"/>
      <c r="L6" s="129"/>
      <c r="M6" s="129"/>
      <c r="N6" s="842" t="s">
        <v>330</v>
      </c>
      <c r="O6" s="843"/>
      <c r="P6" s="843"/>
      <c r="Q6" s="843"/>
      <c r="R6" s="843"/>
      <c r="S6" s="843"/>
      <c r="T6" s="844"/>
      <c r="U6" s="129"/>
      <c r="V6" s="29"/>
      <c r="W6" s="873"/>
      <c r="X6" s="745" t="s">
        <v>177</v>
      </c>
      <c r="Y6" s="389" t="s">
        <v>178</v>
      </c>
      <c r="Z6" s="745" t="s">
        <v>177</v>
      </c>
      <c r="AA6" s="857" t="s">
        <v>178</v>
      </c>
      <c r="AB6" s="40"/>
      <c r="AC6" s="40"/>
      <c r="AD6" s="40"/>
      <c r="AP6" s="15"/>
      <c r="AQ6" s="29"/>
      <c r="AU6" s="15"/>
    </row>
    <row r="7" spans="1:47" x14ac:dyDescent="0.2">
      <c r="A7" s="868" t="s">
        <v>230</v>
      </c>
      <c r="B7" s="657"/>
      <c r="C7" s="657"/>
      <c r="D7" s="657"/>
      <c r="E7" s="24"/>
      <c r="F7" s="24"/>
      <c r="G7" s="868" t="s">
        <v>230</v>
      </c>
      <c r="H7" s="657"/>
      <c r="I7" s="657"/>
      <c r="J7" s="657"/>
      <c r="K7" s="24"/>
      <c r="L7" s="24"/>
      <c r="M7" s="24"/>
      <c r="N7" s="839" t="s">
        <v>276</v>
      </c>
      <c r="O7" s="840"/>
      <c r="P7" s="55">
        <v>0.158</v>
      </c>
      <c r="Q7" s="55">
        <v>0.10199999999999999</v>
      </c>
      <c r="R7" s="55">
        <v>0.182</v>
      </c>
      <c r="S7" s="55">
        <v>3.3000000000000002E-2</v>
      </c>
      <c r="T7" s="57">
        <v>0.16500000000000001</v>
      </c>
      <c r="U7" s="24"/>
      <c r="V7" s="29"/>
      <c r="W7" s="873"/>
      <c r="X7" s="745"/>
      <c r="Y7" s="339"/>
      <c r="Z7" s="745"/>
      <c r="AA7" s="748"/>
      <c r="AB7" s="37"/>
      <c r="AC7" s="37"/>
      <c r="AD7" s="37"/>
      <c r="AP7" s="15"/>
      <c r="AQ7" s="29"/>
      <c r="AU7" s="15"/>
    </row>
    <row r="8" spans="1:47" x14ac:dyDescent="0.2">
      <c r="A8" s="107" t="s">
        <v>167</v>
      </c>
      <c r="B8" s="56">
        <v>-15.22</v>
      </c>
      <c r="C8" s="56">
        <v>1.68</v>
      </c>
      <c r="D8" s="76">
        <v>0.84</v>
      </c>
      <c r="E8" s="28"/>
      <c r="F8" s="28"/>
      <c r="G8" s="107" t="s">
        <v>167</v>
      </c>
      <c r="H8" s="56">
        <v>-5.47</v>
      </c>
      <c r="I8" s="56">
        <v>0.56000000000000005</v>
      </c>
      <c r="J8" s="76">
        <v>0.81</v>
      </c>
      <c r="K8" s="28"/>
      <c r="L8" s="28"/>
      <c r="M8" s="28"/>
      <c r="N8" s="839" t="s">
        <v>277</v>
      </c>
      <c r="O8" s="840"/>
      <c r="P8" s="55">
        <v>0.05</v>
      </c>
      <c r="Q8" s="55">
        <v>3.2000000000000001E-2</v>
      </c>
      <c r="R8" s="55">
        <v>5.8000000000000003E-2</v>
      </c>
      <c r="S8" s="55">
        <v>1.0999999999999999E-2</v>
      </c>
      <c r="T8" s="57">
        <v>5.2999999999999999E-2</v>
      </c>
      <c r="U8" s="28"/>
      <c r="V8" s="29"/>
      <c r="W8" s="873"/>
      <c r="X8" s="390"/>
      <c r="Y8" s="339"/>
      <c r="Z8" s="390"/>
      <c r="AA8" s="748"/>
      <c r="AB8" s="72"/>
      <c r="AC8" s="34"/>
      <c r="AD8" s="34"/>
      <c r="AP8" s="15"/>
      <c r="AQ8" s="29"/>
      <c r="AU8" s="15"/>
    </row>
    <row r="9" spans="1:47" x14ac:dyDescent="0.2">
      <c r="A9" s="107" t="s">
        <v>166</v>
      </c>
      <c r="B9" s="56">
        <v>-12.4</v>
      </c>
      <c r="C9" s="56">
        <v>1.41</v>
      </c>
      <c r="D9" s="76">
        <v>0.66</v>
      </c>
      <c r="E9" s="28"/>
      <c r="F9" s="28"/>
      <c r="G9" s="107" t="s">
        <v>166</v>
      </c>
      <c r="H9" s="56">
        <v>-5.74</v>
      </c>
      <c r="I9" s="56">
        <v>0.54</v>
      </c>
      <c r="J9" s="76">
        <v>1.37</v>
      </c>
      <c r="K9" s="28"/>
      <c r="L9" s="28"/>
      <c r="M9" s="28"/>
      <c r="N9" s="839" t="s">
        <v>331</v>
      </c>
      <c r="O9" s="840"/>
      <c r="P9" s="55">
        <v>0.17199999999999999</v>
      </c>
      <c r="Q9" s="55">
        <v>0.11</v>
      </c>
      <c r="R9" s="55">
        <v>0.19800000000000001</v>
      </c>
      <c r="S9" s="55">
        <v>3.5999999999999997E-2</v>
      </c>
      <c r="T9" s="57">
        <v>0.18099999999999999</v>
      </c>
      <c r="U9" s="28"/>
      <c r="V9" s="29"/>
      <c r="W9" s="107" t="s">
        <v>167</v>
      </c>
      <c r="X9" s="55">
        <v>1.4650000000000001</v>
      </c>
      <c r="Y9" s="55">
        <v>2.0739999999999998</v>
      </c>
      <c r="Z9" s="55">
        <v>3.4279999999999999</v>
      </c>
      <c r="AA9" s="57">
        <v>4.8529999999999998</v>
      </c>
      <c r="AB9" s="34"/>
      <c r="AC9" s="34"/>
      <c r="AD9" s="34"/>
      <c r="AP9" s="15"/>
      <c r="AQ9" s="29"/>
      <c r="AU9" s="15"/>
    </row>
    <row r="10" spans="1:47" x14ac:dyDescent="0.2">
      <c r="A10" s="107" t="s">
        <v>104</v>
      </c>
      <c r="B10" s="56">
        <v>-11.63</v>
      </c>
      <c r="C10" s="56">
        <v>1.33</v>
      </c>
      <c r="D10" s="76">
        <v>1.01</v>
      </c>
      <c r="E10" s="28"/>
      <c r="F10" s="28"/>
      <c r="G10" s="107" t="s">
        <v>104</v>
      </c>
      <c r="H10" s="56">
        <v>-7.99</v>
      </c>
      <c r="I10" s="56">
        <v>0.81</v>
      </c>
      <c r="J10" s="76">
        <v>0.91</v>
      </c>
      <c r="K10" s="28"/>
      <c r="L10" s="28"/>
      <c r="M10" s="28"/>
      <c r="N10" s="839" t="s">
        <v>332</v>
      </c>
      <c r="O10" s="840"/>
      <c r="P10" s="55">
        <v>2.3E-2</v>
      </c>
      <c r="Q10" s="55">
        <v>1.4999999999999999E-2</v>
      </c>
      <c r="R10" s="55">
        <v>2.5999999999999999E-2</v>
      </c>
      <c r="S10" s="55">
        <v>5.0000000000000001E-3</v>
      </c>
      <c r="T10" s="57">
        <v>2.4E-2</v>
      </c>
      <c r="U10" s="28"/>
      <c r="V10" s="29"/>
      <c r="W10" s="107" t="s">
        <v>166</v>
      </c>
      <c r="X10" s="55">
        <v>1.4650000000000001</v>
      </c>
      <c r="Y10" s="55">
        <v>2.0739999999999998</v>
      </c>
      <c r="Z10" s="55">
        <v>3.4279999999999999</v>
      </c>
      <c r="AA10" s="57">
        <v>4.8529999999999998</v>
      </c>
      <c r="AB10" s="34"/>
      <c r="AC10" s="34"/>
      <c r="AD10" s="34"/>
      <c r="AP10" s="15"/>
      <c r="AQ10" s="29"/>
      <c r="AU10" s="15"/>
    </row>
    <row r="11" spans="1:47" x14ac:dyDescent="0.2">
      <c r="A11" s="145" t="s">
        <v>107</v>
      </c>
      <c r="B11" s="56">
        <v>-12.34</v>
      </c>
      <c r="C11" s="56">
        <v>1.36</v>
      </c>
      <c r="D11" s="76">
        <v>1.32</v>
      </c>
      <c r="E11" s="28"/>
      <c r="F11" s="28"/>
      <c r="G11" s="145" t="s">
        <v>107</v>
      </c>
      <c r="H11" s="56">
        <v>-5.05</v>
      </c>
      <c r="I11" s="56">
        <v>0.47</v>
      </c>
      <c r="J11" s="76">
        <v>0.86</v>
      </c>
      <c r="K11" s="28"/>
      <c r="L11" s="28"/>
      <c r="M11" s="28"/>
      <c r="N11" s="839" t="s">
        <v>280</v>
      </c>
      <c r="O11" s="840"/>
      <c r="P11" s="55">
        <v>8.3000000000000004E-2</v>
      </c>
      <c r="Q11" s="55">
        <v>5.2999999999999999E-2</v>
      </c>
      <c r="R11" s="55">
        <v>9.6000000000000002E-2</v>
      </c>
      <c r="S11" s="55">
        <v>1.7999999999999999E-2</v>
      </c>
      <c r="T11" s="57">
        <v>8.6999999999999994E-2</v>
      </c>
      <c r="U11" s="28"/>
      <c r="V11" s="29"/>
      <c r="W11" s="107" t="s">
        <v>104</v>
      </c>
      <c r="X11" s="55">
        <v>1.1000000000000001</v>
      </c>
      <c r="Y11" s="55">
        <v>1.7090000000000001</v>
      </c>
      <c r="Z11" s="55">
        <v>2.5739999999999998</v>
      </c>
      <c r="AA11" s="57">
        <v>3.9990000000000001</v>
      </c>
      <c r="AB11" s="34"/>
      <c r="AC11" s="34"/>
      <c r="AD11" s="34"/>
      <c r="AP11" s="15"/>
      <c r="AQ11" s="29"/>
      <c r="AU11" s="15"/>
    </row>
    <row r="12" spans="1:47" x14ac:dyDescent="0.2">
      <c r="A12" s="107" t="s">
        <v>181</v>
      </c>
      <c r="B12" s="56">
        <v>-9.6999999999999993</v>
      </c>
      <c r="C12" s="56">
        <v>1.17</v>
      </c>
      <c r="D12" s="76">
        <v>0.81</v>
      </c>
      <c r="E12" s="28"/>
      <c r="F12" s="28"/>
      <c r="G12" s="107" t="s">
        <v>181</v>
      </c>
      <c r="H12" s="56">
        <v>-4.82</v>
      </c>
      <c r="I12" s="56">
        <v>0.54</v>
      </c>
      <c r="J12" s="76">
        <v>0.52</v>
      </c>
      <c r="K12" s="28"/>
      <c r="L12" s="28"/>
      <c r="M12" s="28"/>
      <c r="N12" s="839" t="s">
        <v>281</v>
      </c>
      <c r="O12" s="840"/>
      <c r="P12" s="55">
        <v>1.6E-2</v>
      </c>
      <c r="Q12" s="55">
        <v>0.01</v>
      </c>
      <c r="R12" s="55">
        <v>1.7999999999999999E-2</v>
      </c>
      <c r="S12" s="55">
        <v>3.0000000000000001E-3</v>
      </c>
      <c r="T12" s="57">
        <v>1.6E-2</v>
      </c>
      <c r="U12" s="28"/>
      <c r="V12" s="29"/>
      <c r="W12" s="107" t="s">
        <v>107</v>
      </c>
      <c r="X12" s="55">
        <v>1.1000000000000001</v>
      </c>
      <c r="Y12" s="55">
        <v>1.7090000000000001</v>
      </c>
      <c r="Z12" s="55">
        <v>2.5739999999999998</v>
      </c>
      <c r="AA12" s="57">
        <v>3.9990000000000001</v>
      </c>
      <c r="AB12" s="34"/>
      <c r="AC12" s="34"/>
      <c r="AD12" s="34"/>
      <c r="AP12" s="15"/>
      <c r="AQ12" s="29"/>
      <c r="AU12" s="15"/>
    </row>
    <row r="13" spans="1:47" ht="13.5" thickBot="1" x14ac:dyDescent="0.25">
      <c r="A13" s="806" t="s">
        <v>231</v>
      </c>
      <c r="B13" s="315"/>
      <c r="C13" s="315"/>
      <c r="D13" s="338"/>
      <c r="E13" s="24"/>
      <c r="F13" s="24"/>
      <c r="G13" s="806" t="s">
        <v>231</v>
      </c>
      <c r="H13" s="315"/>
      <c r="I13" s="315"/>
      <c r="J13" s="338"/>
      <c r="K13" s="24"/>
      <c r="L13" s="24"/>
      <c r="M13" s="24"/>
      <c r="N13" s="839" t="s">
        <v>96</v>
      </c>
      <c r="O13" s="840"/>
      <c r="P13" s="55">
        <v>2.5000000000000001E-2</v>
      </c>
      <c r="Q13" s="55">
        <v>1.6E-2</v>
      </c>
      <c r="R13" s="55">
        <v>2.9000000000000001E-2</v>
      </c>
      <c r="S13" s="55">
        <v>5.0000000000000001E-3</v>
      </c>
      <c r="T13" s="57">
        <v>2.7E-2</v>
      </c>
      <c r="U13" s="24"/>
      <c r="V13" s="29"/>
      <c r="W13" s="111" t="s">
        <v>181</v>
      </c>
      <c r="X13" s="59">
        <v>1.1000000000000001</v>
      </c>
      <c r="Y13" s="59">
        <v>1.7090000000000001</v>
      </c>
      <c r="Z13" s="59">
        <v>2.5739999999999998</v>
      </c>
      <c r="AA13" s="103">
        <v>3.9990000000000001</v>
      </c>
      <c r="AB13" s="34"/>
      <c r="AC13" s="34"/>
      <c r="AD13" s="34"/>
      <c r="AP13" s="15"/>
      <c r="AQ13" s="29"/>
      <c r="AU13" s="15"/>
    </row>
    <row r="14" spans="1:47" x14ac:dyDescent="0.2">
      <c r="A14" s="107" t="s">
        <v>167</v>
      </c>
      <c r="B14" s="56">
        <v>-16.22</v>
      </c>
      <c r="C14" s="56">
        <v>1.66</v>
      </c>
      <c r="D14" s="76">
        <v>0.65</v>
      </c>
      <c r="E14" s="28"/>
      <c r="F14" s="28"/>
      <c r="G14" s="107" t="s">
        <v>167</v>
      </c>
      <c r="H14" s="56">
        <v>-3.96</v>
      </c>
      <c r="I14" s="56">
        <v>0.23</v>
      </c>
      <c r="J14" s="76">
        <v>0.5</v>
      </c>
      <c r="K14" s="28"/>
      <c r="L14" s="28"/>
      <c r="M14" s="28"/>
      <c r="N14" s="842" t="s">
        <v>333</v>
      </c>
      <c r="O14" s="843"/>
      <c r="P14" s="843"/>
      <c r="Q14" s="843"/>
      <c r="R14" s="843"/>
      <c r="S14" s="843"/>
      <c r="T14" s="844"/>
      <c r="U14" s="28"/>
      <c r="V14" s="29"/>
      <c r="W14" s="114"/>
      <c r="X14" s="114"/>
      <c r="Y14" s="114"/>
      <c r="Z14" s="114"/>
      <c r="AA14" s="114"/>
      <c r="AB14" s="34"/>
      <c r="AC14" s="34"/>
      <c r="AD14" s="34"/>
      <c r="AP14" s="15"/>
      <c r="AQ14" s="29"/>
      <c r="AU14" s="15"/>
    </row>
    <row r="15" spans="1:47" x14ac:dyDescent="0.2">
      <c r="A15" s="107" t="s">
        <v>166</v>
      </c>
      <c r="B15" s="56">
        <v>-16.45</v>
      </c>
      <c r="C15" s="56">
        <v>1.69</v>
      </c>
      <c r="D15" s="76">
        <v>0.59</v>
      </c>
      <c r="E15" s="28"/>
      <c r="F15" s="28"/>
      <c r="G15" s="107" t="s">
        <v>166</v>
      </c>
      <c r="H15" s="56">
        <v>-6.37</v>
      </c>
      <c r="I15" s="56">
        <v>0.47</v>
      </c>
      <c r="J15" s="76">
        <v>1.06</v>
      </c>
      <c r="K15" s="28"/>
      <c r="L15" s="28"/>
      <c r="M15" s="28"/>
      <c r="N15" s="839" t="s">
        <v>334</v>
      </c>
      <c r="O15" s="840"/>
      <c r="P15" s="55">
        <v>1</v>
      </c>
      <c r="Q15" s="55">
        <v>1</v>
      </c>
      <c r="R15" s="55">
        <v>1.1719999999999999</v>
      </c>
      <c r="S15" s="55">
        <v>1.1060000000000001</v>
      </c>
      <c r="T15" s="57">
        <v>1.1719999999999999</v>
      </c>
      <c r="U15" s="28"/>
      <c r="V15" s="29"/>
      <c r="W15" s="73"/>
      <c r="X15" s="44"/>
      <c r="Y15" s="44"/>
      <c r="Z15" s="44"/>
      <c r="AA15" s="44"/>
      <c r="AB15" s="44"/>
      <c r="AC15" s="44"/>
      <c r="AD15" s="44"/>
      <c r="AO15" s="18"/>
      <c r="AQ15" s="29"/>
      <c r="AU15" s="15"/>
    </row>
    <row r="16" spans="1:47" x14ac:dyDescent="0.2">
      <c r="A16" s="107" t="s">
        <v>104</v>
      </c>
      <c r="B16" s="56">
        <v>-12.08</v>
      </c>
      <c r="C16" s="56">
        <v>1.25</v>
      </c>
      <c r="D16" s="76">
        <v>0.99</v>
      </c>
      <c r="E16" s="28"/>
      <c r="F16" s="28"/>
      <c r="G16" s="107" t="s">
        <v>104</v>
      </c>
      <c r="H16" s="56">
        <v>-7.37</v>
      </c>
      <c r="I16" s="56">
        <v>0.61</v>
      </c>
      <c r="J16" s="76">
        <v>0.54</v>
      </c>
      <c r="K16" s="28"/>
      <c r="L16" s="28"/>
      <c r="M16" s="28"/>
      <c r="N16" s="842" t="s">
        <v>335</v>
      </c>
      <c r="O16" s="843"/>
      <c r="P16" s="843"/>
      <c r="Q16" s="843"/>
      <c r="R16" s="843"/>
      <c r="S16" s="843"/>
      <c r="T16" s="844"/>
      <c r="U16" s="28"/>
      <c r="V16" s="29"/>
      <c r="AD16" s="25"/>
      <c r="AO16" s="19"/>
      <c r="AQ16" s="29"/>
      <c r="AU16" s="29"/>
    </row>
    <row r="17" spans="1:47" ht="13.5" thickBot="1" x14ac:dyDescent="0.25">
      <c r="A17" s="145" t="s">
        <v>107</v>
      </c>
      <c r="B17" s="56">
        <v>-12.76</v>
      </c>
      <c r="C17" s="56">
        <v>1.28</v>
      </c>
      <c r="D17" s="76">
        <v>1.31</v>
      </c>
      <c r="E17" s="28"/>
      <c r="F17" s="28"/>
      <c r="G17" s="145" t="s">
        <v>107</v>
      </c>
      <c r="H17" s="56">
        <v>-8.7100000000000009</v>
      </c>
      <c r="I17" s="56">
        <v>0.66</v>
      </c>
      <c r="J17" s="76">
        <v>0.28000000000000003</v>
      </c>
      <c r="K17" s="28"/>
      <c r="L17" s="28"/>
      <c r="M17" s="28"/>
      <c r="N17" s="839" t="s">
        <v>334</v>
      </c>
      <c r="O17" s="840"/>
      <c r="P17" s="56">
        <v>0.81</v>
      </c>
      <c r="Q17" s="56">
        <v>1.1000000000000001</v>
      </c>
      <c r="R17" s="56">
        <v>0.81</v>
      </c>
      <c r="S17" s="56">
        <v>1.39</v>
      </c>
      <c r="T17" s="76">
        <v>0.1</v>
      </c>
      <c r="U17" s="28"/>
      <c r="V17" s="29"/>
      <c r="W17" s="18"/>
      <c r="X17" s="18"/>
      <c r="Y17" s="18"/>
      <c r="Z17" s="18"/>
      <c r="AD17" s="60"/>
      <c r="AQ17" s="29"/>
      <c r="AU17" s="29"/>
    </row>
    <row r="18" spans="1:47" ht="13.5" thickTop="1" x14ac:dyDescent="0.2">
      <c r="A18" s="107" t="s">
        <v>181</v>
      </c>
      <c r="B18" s="56">
        <v>-10.47</v>
      </c>
      <c r="C18" s="56">
        <v>1.1200000000000001</v>
      </c>
      <c r="D18" s="76">
        <v>0.62</v>
      </c>
      <c r="E18" s="28"/>
      <c r="F18" s="28"/>
      <c r="G18" s="107" t="s">
        <v>181</v>
      </c>
      <c r="H18" s="56">
        <v>-4.43</v>
      </c>
      <c r="I18" s="56">
        <v>0.35</v>
      </c>
      <c r="J18" s="76">
        <v>0.36</v>
      </c>
      <c r="K18" s="28"/>
      <c r="L18" s="28"/>
      <c r="M18" s="28"/>
      <c r="N18" s="842" t="s">
        <v>336</v>
      </c>
      <c r="O18" s="843"/>
      <c r="P18" s="843"/>
      <c r="Q18" s="843"/>
      <c r="R18" s="843"/>
      <c r="S18" s="843"/>
      <c r="T18" s="844"/>
      <c r="U18" s="28"/>
      <c r="V18" s="29"/>
      <c r="W18" s="859" t="s">
        <v>575</v>
      </c>
      <c r="X18" s="859"/>
      <c r="Y18" s="859"/>
      <c r="Z18" s="859"/>
      <c r="AD18" s="60"/>
      <c r="AO18" s="45"/>
      <c r="AP18" s="29"/>
    </row>
    <row r="19" spans="1:47" ht="13.5" thickBot="1" x14ac:dyDescent="0.25">
      <c r="A19" s="806" t="s">
        <v>232</v>
      </c>
      <c r="B19" s="315"/>
      <c r="C19" s="315"/>
      <c r="D19" s="338"/>
      <c r="E19" s="24"/>
      <c r="F19" s="24"/>
      <c r="G19" s="806" t="s">
        <v>232</v>
      </c>
      <c r="H19" s="315"/>
      <c r="I19" s="315"/>
      <c r="J19" s="338"/>
      <c r="K19" s="24"/>
      <c r="L19" s="24"/>
      <c r="M19" s="24"/>
      <c r="N19" s="839" t="s">
        <v>334</v>
      </c>
      <c r="O19" s="840"/>
      <c r="P19" s="55">
        <v>0.32300000000000001</v>
      </c>
      <c r="Q19" s="55">
        <v>0.24299999999999999</v>
      </c>
      <c r="R19" s="55">
        <v>0.34200000000000003</v>
      </c>
      <c r="S19" s="55">
        <v>0.28399999999999997</v>
      </c>
      <c r="T19" s="57">
        <v>0.26900000000000002</v>
      </c>
      <c r="U19" s="24"/>
      <c r="V19" s="29"/>
      <c r="W19" s="860"/>
      <c r="X19" s="860"/>
      <c r="Y19" s="860"/>
      <c r="Z19" s="860"/>
      <c r="AD19" s="29"/>
      <c r="AE19" s="29"/>
      <c r="AF19" s="29"/>
      <c r="AG19" s="29"/>
      <c r="AH19" s="29"/>
      <c r="AP19" s="29"/>
      <c r="AR19" s="117"/>
      <c r="AS19" s="82"/>
    </row>
    <row r="20" spans="1:47" x14ac:dyDescent="0.2">
      <c r="A20" s="107" t="s">
        <v>167</v>
      </c>
      <c r="B20" s="56">
        <v>-15.62</v>
      </c>
      <c r="C20" s="56">
        <v>1.69</v>
      </c>
      <c r="D20" s="76">
        <v>0.87</v>
      </c>
      <c r="E20" s="28"/>
      <c r="F20" s="28"/>
      <c r="G20" s="107" t="s">
        <v>167</v>
      </c>
      <c r="H20" s="56">
        <v>-6.51</v>
      </c>
      <c r="I20" s="56">
        <v>0.64</v>
      </c>
      <c r="J20" s="76">
        <v>0.87</v>
      </c>
      <c r="K20" s="28"/>
      <c r="L20" s="28"/>
      <c r="M20" s="28"/>
      <c r="N20" s="842" t="s">
        <v>337</v>
      </c>
      <c r="O20" s="843"/>
      <c r="P20" s="843"/>
      <c r="Q20" s="843"/>
      <c r="R20" s="843"/>
      <c r="S20" s="843"/>
      <c r="T20" s="844"/>
      <c r="U20" s="28"/>
      <c r="V20" s="29"/>
      <c r="W20" s="845" t="s">
        <v>190</v>
      </c>
      <c r="X20" s="846"/>
      <c r="Y20" s="846" t="s">
        <v>192</v>
      </c>
      <c r="Z20" s="837"/>
      <c r="AD20" s="45"/>
      <c r="AE20" s="25"/>
      <c r="AF20" s="45"/>
      <c r="AG20" s="29"/>
      <c r="AH20" s="29"/>
      <c r="AP20" s="29"/>
      <c r="AS20" s="82"/>
    </row>
    <row r="21" spans="1:47" ht="15" thickBot="1" x14ac:dyDescent="0.3">
      <c r="A21" s="107" t="s">
        <v>166</v>
      </c>
      <c r="B21" s="56">
        <v>-11.95</v>
      </c>
      <c r="C21" s="56">
        <v>1.33</v>
      </c>
      <c r="D21" s="76">
        <v>0.59</v>
      </c>
      <c r="E21" s="28"/>
      <c r="F21" s="28"/>
      <c r="G21" s="107" t="s">
        <v>166</v>
      </c>
      <c r="H21" s="56">
        <v>-6.29</v>
      </c>
      <c r="I21" s="56">
        <v>0.56000000000000005</v>
      </c>
      <c r="J21" s="76">
        <v>1.93</v>
      </c>
      <c r="K21" s="28"/>
      <c r="L21" s="28"/>
      <c r="M21" s="28"/>
      <c r="N21" s="917" t="s">
        <v>334</v>
      </c>
      <c r="O21" s="918"/>
      <c r="P21" s="59">
        <v>0.67700000000000005</v>
      </c>
      <c r="Q21" s="59">
        <v>0.75700000000000001</v>
      </c>
      <c r="R21" s="59">
        <v>0.65800000000000003</v>
      </c>
      <c r="S21" s="59">
        <v>0.71599999999999997</v>
      </c>
      <c r="T21" s="103">
        <v>0.73099999999999998</v>
      </c>
      <c r="U21" s="28"/>
      <c r="V21" s="29"/>
      <c r="W21" s="855" t="s">
        <v>191</v>
      </c>
      <c r="X21" s="856"/>
      <c r="Y21" s="856" t="s">
        <v>193</v>
      </c>
      <c r="Z21" s="858"/>
      <c r="AD21" s="25"/>
      <c r="AE21" s="25"/>
      <c r="AF21" s="29"/>
      <c r="AG21" s="29"/>
      <c r="AH21" s="29"/>
      <c r="AP21" s="29"/>
      <c r="AS21" s="82"/>
    </row>
    <row r="22" spans="1:47" x14ac:dyDescent="0.2">
      <c r="A22" s="107" t="s">
        <v>104</v>
      </c>
      <c r="B22" s="56">
        <v>-12.53</v>
      </c>
      <c r="C22" s="56">
        <v>1.38</v>
      </c>
      <c r="D22" s="76">
        <v>1.08</v>
      </c>
      <c r="E22" s="28"/>
      <c r="F22" s="28"/>
      <c r="G22" s="107" t="s">
        <v>104</v>
      </c>
      <c r="H22" s="56">
        <v>-8.5</v>
      </c>
      <c r="I22" s="56">
        <v>0.84</v>
      </c>
      <c r="J22" s="76">
        <v>0.97</v>
      </c>
      <c r="K22" s="28"/>
      <c r="L22" s="28"/>
      <c r="M22" s="28"/>
      <c r="N22" s="915" t="s">
        <v>339</v>
      </c>
      <c r="O22" s="915"/>
      <c r="P22" s="915"/>
      <c r="Q22" s="915"/>
      <c r="R22" s="915"/>
      <c r="S22" s="915"/>
      <c r="T22" s="915"/>
      <c r="U22" s="28"/>
      <c r="V22" s="29"/>
      <c r="W22" s="838">
        <v>2</v>
      </c>
      <c r="X22" s="836"/>
      <c r="Y22" s="836">
        <v>0.23200000000000001</v>
      </c>
      <c r="Z22" s="837"/>
      <c r="AD22" s="29"/>
      <c r="AE22" s="29"/>
      <c r="AF22" s="29"/>
      <c r="AG22" s="29"/>
      <c r="AH22" s="29"/>
      <c r="AP22" s="29"/>
      <c r="AS22" s="82"/>
    </row>
    <row r="23" spans="1:47" x14ac:dyDescent="0.2">
      <c r="A23" s="145" t="s">
        <v>107</v>
      </c>
      <c r="B23" s="56">
        <v>-12.81</v>
      </c>
      <c r="C23" s="56">
        <v>1.38</v>
      </c>
      <c r="D23" s="76">
        <v>1.34</v>
      </c>
      <c r="E23" s="28"/>
      <c r="F23" s="28"/>
      <c r="G23" s="145" t="s">
        <v>107</v>
      </c>
      <c r="H23" s="56">
        <v>-5.04</v>
      </c>
      <c r="I23" s="56">
        <v>0.45</v>
      </c>
      <c r="J23" s="76">
        <v>1.06</v>
      </c>
      <c r="K23" s="28"/>
      <c r="L23" s="28"/>
      <c r="M23" s="28"/>
      <c r="N23" s="916"/>
      <c r="O23" s="916"/>
      <c r="P23" s="916"/>
      <c r="Q23" s="916"/>
      <c r="R23" s="916"/>
      <c r="S23" s="916"/>
      <c r="T23" s="916"/>
      <c r="U23" s="28"/>
      <c r="V23" s="29"/>
      <c r="W23" s="831">
        <v>5</v>
      </c>
      <c r="X23" s="829"/>
      <c r="Y23" s="829">
        <v>0.13300000000000001</v>
      </c>
      <c r="Z23" s="830"/>
      <c r="AD23" s="40"/>
      <c r="AE23" s="40"/>
      <c r="AF23" s="40"/>
      <c r="AG23" s="37"/>
      <c r="AH23" s="29"/>
      <c r="AP23" s="29"/>
      <c r="AS23" s="82"/>
    </row>
    <row r="24" spans="1:47" ht="13.5" thickBot="1" x14ac:dyDescent="0.25">
      <c r="A24" s="111" t="s">
        <v>181</v>
      </c>
      <c r="B24" s="14">
        <v>-9.9700000000000006</v>
      </c>
      <c r="C24" s="14">
        <v>1.17</v>
      </c>
      <c r="D24" s="101">
        <v>0.88</v>
      </c>
      <c r="E24" s="28"/>
      <c r="F24" s="28"/>
      <c r="G24" s="111" t="s">
        <v>181</v>
      </c>
      <c r="H24" s="14">
        <v>-5.83</v>
      </c>
      <c r="I24" s="14">
        <v>0.61</v>
      </c>
      <c r="J24" s="101">
        <v>0.55000000000000004</v>
      </c>
      <c r="K24" s="28"/>
      <c r="L24" s="28"/>
      <c r="M24" s="28"/>
      <c r="N24" s="133"/>
      <c r="O24" s="133"/>
      <c r="P24" s="133"/>
      <c r="Q24" s="133"/>
      <c r="R24" s="133"/>
      <c r="S24" s="133"/>
      <c r="T24" s="133"/>
      <c r="U24" s="28"/>
      <c r="V24" s="29"/>
      <c r="W24" s="831">
        <v>10</v>
      </c>
      <c r="X24" s="829"/>
      <c r="Y24" s="829">
        <v>8.6999999999999994E-2</v>
      </c>
      <c r="Z24" s="830"/>
      <c r="AD24" s="37"/>
      <c r="AE24" s="37"/>
      <c r="AF24" s="37"/>
      <c r="AG24" s="37"/>
      <c r="AH24" s="29"/>
      <c r="AP24" s="29"/>
      <c r="AS24" s="82"/>
    </row>
    <row r="25" spans="1:47" x14ac:dyDescent="0.2">
      <c r="A25" s="25"/>
      <c r="B25" s="25"/>
      <c r="C25" s="25"/>
      <c r="D25" s="25"/>
      <c r="E25" s="25"/>
      <c r="F25" s="25"/>
      <c r="G25" s="25"/>
      <c r="H25" s="25"/>
      <c r="I25" s="25"/>
      <c r="J25" s="25"/>
      <c r="K25" s="25"/>
      <c r="L25" s="25"/>
      <c r="M25" s="25"/>
      <c r="N25" s="133"/>
      <c r="O25" s="133"/>
      <c r="P25" s="133"/>
      <c r="Q25" s="133"/>
      <c r="R25" s="133"/>
      <c r="S25" s="133"/>
      <c r="T25" s="133"/>
      <c r="U25" s="25"/>
      <c r="V25" s="29"/>
      <c r="W25" s="831">
        <v>15</v>
      </c>
      <c r="X25" s="829"/>
      <c r="Y25" s="829">
        <v>6.8000000000000005E-2</v>
      </c>
      <c r="Z25" s="830"/>
      <c r="AD25" s="34"/>
      <c r="AE25" s="34"/>
      <c r="AF25" s="34"/>
      <c r="AG25" s="34"/>
      <c r="AH25" s="29"/>
      <c r="AP25" s="29"/>
    </row>
    <row r="26" spans="1:47" x14ac:dyDescent="0.2">
      <c r="A26" s="93" t="s">
        <v>466</v>
      </c>
      <c r="B26" s="25"/>
      <c r="C26" s="25"/>
      <c r="D26" s="25"/>
      <c r="E26" s="25"/>
      <c r="F26" s="25"/>
      <c r="G26" s="25"/>
      <c r="H26" s="25"/>
      <c r="I26" s="25"/>
      <c r="J26" s="25"/>
      <c r="K26" s="25"/>
      <c r="L26" s="25"/>
      <c r="M26" s="25"/>
      <c r="N26" s="133"/>
      <c r="O26" s="133"/>
      <c r="P26" s="133"/>
      <c r="Q26" s="133"/>
      <c r="R26" s="133"/>
      <c r="S26" s="133"/>
      <c r="T26" s="133"/>
      <c r="U26" s="25"/>
      <c r="V26" s="29"/>
      <c r="W26" s="831">
        <v>20</v>
      </c>
      <c r="X26" s="829"/>
      <c r="Y26" s="829">
        <v>5.7000000000000002E-2</v>
      </c>
      <c r="Z26" s="830"/>
      <c r="AD26" s="34"/>
      <c r="AE26" s="34"/>
      <c r="AF26" s="34"/>
      <c r="AG26" s="34"/>
      <c r="AH26" s="29"/>
      <c r="AP26" s="29"/>
    </row>
    <row r="27" spans="1:47" ht="13.5" thickBot="1" x14ac:dyDescent="0.25">
      <c r="A27" s="29"/>
      <c r="B27" s="29"/>
      <c r="C27" s="29"/>
      <c r="D27" s="29"/>
      <c r="E27" s="29"/>
      <c r="F27" s="29"/>
      <c r="G27" s="29"/>
      <c r="H27" s="29"/>
      <c r="I27" s="29"/>
      <c r="J27" s="29"/>
      <c r="K27" s="29"/>
      <c r="L27" s="29"/>
      <c r="M27" s="29"/>
      <c r="N27" s="133"/>
      <c r="O27" s="133"/>
      <c r="P27" s="133"/>
      <c r="Q27" s="133"/>
      <c r="R27" s="133"/>
      <c r="S27" s="133"/>
      <c r="T27" s="133"/>
      <c r="U27" s="29"/>
      <c r="V27" s="29"/>
      <c r="W27" s="831">
        <v>25</v>
      </c>
      <c r="X27" s="829"/>
      <c r="Y27" s="829">
        <v>4.9000000000000002E-2</v>
      </c>
      <c r="Z27" s="830"/>
      <c r="AD27" s="34"/>
      <c r="AE27" s="34"/>
      <c r="AF27" s="34"/>
      <c r="AG27" s="34"/>
      <c r="AH27" s="29"/>
      <c r="AP27" s="29"/>
    </row>
    <row r="28" spans="1:47" ht="14.25" thickTop="1" thickBot="1" x14ac:dyDescent="0.25">
      <c r="A28" s="813" t="s">
        <v>561</v>
      </c>
      <c r="B28" s="813"/>
      <c r="C28" s="813"/>
      <c r="D28" s="813"/>
      <c r="E28" s="813"/>
      <c r="F28" s="813"/>
      <c r="G28" s="813"/>
      <c r="H28" s="813"/>
      <c r="I28" s="813"/>
      <c r="J28" s="850"/>
      <c r="K28" s="850"/>
      <c r="L28" s="851"/>
      <c r="M28" s="15"/>
      <c r="N28" s="29"/>
      <c r="O28" s="29"/>
      <c r="P28" s="29"/>
      <c r="Q28" s="29"/>
      <c r="R28" s="29"/>
      <c r="S28" s="29"/>
      <c r="T28" s="29"/>
      <c r="U28" s="10"/>
      <c r="V28" s="29"/>
      <c r="W28" s="832" t="s">
        <v>196</v>
      </c>
      <c r="X28" s="833"/>
      <c r="Y28" s="833">
        <v>4.3999999999999997E-2</v>
      </c>
      <c r="Z28" s="854"/>
      <c r="AD28" s="34"/>
      <c r="AE28" s="34"/>
      <c r="AF28" s="34"/>
      <c r="AG28" s="34"/>
      <c r="AH28" s="29"/>
      <c r="AP28" s="29"/>
    </row>
    <row r="29" spans="1:47" ht="13.5" thickBot="1" x14ac:dyDescent="0.25">
      <c r="A29" s="814"/>
      <c r="B29" s="814"/>
      <c r="C29" s="814"/>
      <c r="D29" s="814"/>
      <c r="E29" s="814"/>
      <c r="F29" s="814"/>
      <c r="G29" s="814"/>
      <c r="H29" s="814"/>
      <c r="I29" s="814"/>
      <c r="J29" s="852"/>
      <c r="K29" s="852"/>
      <c r="L29" s="853"/>
      <c r="M29" s="15"/>
      <c r="N29" s="29"/>
      <c r="O29" s="29"/>
      <c r="P29" s="29"/>
      <c r="Q29" s="29"/>
      <c r="R29" s="29"/>
      <c r="S29" s="29"/>
      <c r="T29" s="29"/>
      <c r="U29" s="10"/>
      <c r="V29" s="29"/>
      <c r="W29" s="834" t="s">
        <v>347</v>
      </c>
      <c r="X29" s="835"/>
      <c r="Y29" s="835"/>
      <c r="Z29" s="835"/>
      <c r="AA29" s="34"/>
      <c r="AB29" s="34"/>
      <c r="AC29" s="34"/>
      <c r="AD29" s="34"/>
      <c r="AE29" s="34"/>
      <c r="AF29" s="34"/>
      <c r="AG29" s="34"/>
      <c r="AH29" s="29"/>
      <c r="AP29" s="29"/>
    </row>
    <row r="30" spans="1:47" x14ac:dyDescent="0.2">
      <c r="A30" s="802" t="s">
        <v>71</v>
      </c>
      <c r="B30" s="789" t="s">
        <v>70</v>
      </c>
      <c r="C30" s="907" t="s">
        <v>245</v>
      </c>
      <c r="D30" s="908"/>
      <c r="E30" s="908"/>
      <c r="F30" s="908"/>
      <c r="G30" s="908"/>
      <c r="H30" s="908"/>
      <c r="I30" s="908"/>
      <c r="J30" s="908"/>
      <c r="K30" s="908"/>
      <c r="L30" s="909"/>
      <c r="M30" s="24"/>
      <c r="N30" s="25"/>
      <c r="O30" s="25"/>
      <c r="P30" s="25"/>
      <c r="Q30" s="25"/>
      <c r="R30" s="25"/>
      <c r="S30" s="25"/>
      <c r="T30" s="25"/>
      <c r="U30" s="133"/>
      <c r="V30" s="29"/>
      <c r="W30" s="478"/>
      <c r="X30" s="478"/>
      <c r="Y30" s="478"/>
      <c r="Z30" s="478"/>
      <c r="AP30" s="29"/>
    </row>
    <row r="31" spans="1:47" x14ac:dyDescent="0.2">
      <c r="A31" s="727"/>
      <c r="B31" s="906"/>
      <c r="C31" s="696" t="s">
        <v>49</v>
      </c>
      <c r="D31" s="315"/>
      <c r="E31" s="315"/>
      <c r="F31" s="315"/>
      <c r="G31" s="315"/>
      <c r="H31" s="315"/>
      <c r="I31" s="315"/>
      <c r="J31" s="315"/>
      <c r="K31" s="315"/>
      <c r="L31" s="338"/>
      <c r="M31" s="24"/>
      <c r="N31" s="25"/>
      <c r="O31" s="25"/>
      <c r="P31" s="25"/>
      <c r="Q31" s="25"/>
      <c r="R31" s="25"/>
      <c r="S31" s="25"/>
      <c r="T31" s="25"/>
      <c r="U31" s="36"/>
      <c r="V31" s="29"/>
      <c r="W31" s="817" t="s">
        <v>348</v>
      </c>
      <c r="X31" s="818"/>
      <c r="Y31" s="818"/>
      <c r="Z31" s="818"/>
      <c r="AJ31" s="129"/>
      <c r="AO31" s="25"/>
      <c r="AP31" s="29"/>
    </row>
    <row r="32" spans="1:47" ht="13.5" thickBot="1" x14ac:dyDescent="0.25">
      <c r="A32" s="910" t="s">
        <v>51</v>
      </c>
      <c r="B32" s="911"/>
      <c r="C32" s="583" t="s">
        <v>167</v>
      </c>
      <c r="D32" s="582"/>
      <c r="E32" s="696" t="s">
        <v>166</v>
      </c>
      <c r="F32" s="563"/>
      <c r="G32" s="696" t="s">
        <v>104</v>
      </c>
      <c r="H32" s="563"/>
      <c r="I32" s="696" t="s">
        <v>107</v>
      </c>
      <c r="J32" s="696"/>
      <c r="K32" s="696" t="s">
        <v>181</v>
      </c>
      <c r="L32" s="583"/>
      <c r="M32" s="112"/>
      <c r="N32" s="45"/>
      <c r="O32" s="45"/>
      <c r="P32" s="45"/>
      <c r="Q32" s="45"/>
      <c r="R32" s="45"/>
      <c r="S32" s="45"/>
      <c r="T32" s="45"/>
      <c r="U32" s="29"/>
      <c r="V32" s="29"/>
      <c r="W32" s="819"/>
      <c r="X32" s="819"/>
      <c r="Y32" s="819"/>
      <c r="Z32" s="819"/>
      <c r="AJ32" s="129"/>
      <c r="AO32" s="25"/>
      <c r="AP32" s="29"/>
    </row>
    <row r="33" spans="1:47" x14ac:dyDescent="0.2">
      <c r="A33" s="912"/>
      <c r="B33" s="913"/>
      <c r="C33" s="108" t="s">
        <v>246</v>
      </c>
      <c r="D33" s="98" t="s">
        <v>97</v>
      </c>
      <c r="E33" s="108" t="s">
        <v>246</v>
      </c>
      <c r="F33" s="98" t="s">
        <v>97</v>
      </c>
      <c r="G33" s="108" t="s">
        <v>246</v>
      </c>
      <c r="H33" s="98" t="s">
        <v>97</v>
      </c>
      <c r="I33" s="108" t="s">
        <v>246</v>
      </c>
      <c r="J33" s="98" t="s">
        <v>97</v>
      </c>
      <c r="K33" s="108" t="s">
        <v>246</v>
      </c>
      <c r="L33" s="149" t="s">
        <v>97</v>
      </c>
      <c r="M33" s="136"/>
      <c r="N33" s="136"/>
      <c r="O33" s="136"/>
      <c r="P33" s="136"/>
      <c r="Q33" s="136"/>
      <c r="R33" s="136"/>
      <c r="S33" s="136"/>
      <c r="T33" s="136"/>
      <c r="U33" s="115"/>
      <c r="V33" s="29"/>
      <c r="W33" s="53"/>
      <c r="X33" s="53"/>
      <c r="Y33" s="28"/>
      <c r="Z33" s="25"/>
      <c r="AJ33" s="46"/>
      <c r="AO33" s="110"/>
      <c r="AP33" s="29"/>
    </row>
    <row r="34" spans="1:47" x14ac:dyDescent="0.2">
      <c r="A34" s="820" t="s">
        <v>42</v>
      </c>
      <c r="B34" s="435"/>
      <c r="C34" s="105">
        <v>0.73</v>
      </c>
      <c r="D34" s="105">
        <v>0.77800000000000002</v>
      </c>
      <c r="E34" s="105">
        <v>0.84499999999999997</v>
      </c>
      <c r="F34" s="105">
        <v>0.84199999999999997</v>
      </c>
      <c r="G34" s="105">
        <v>0.51100000000000001</v>
      </c>
      <c r="H34" s="105">
        <v>0.50600000000000001</v>
      </c>
      <c r="I34" s="105">
        <v>0.83199999999999996</v>
      </c>
      <c r="J34" s="105">
        <v>0.66200000000000003</v>
      </c>
      <c r="K34" s="105">
        <v>0.84599999999999997</v>
      </c>
      <c r="L34" s="106">
        <v>0.65100000000000002</v>
      </c>
      <c r="M34" s="156"/>
      <c r="N34" s="156"/>
      <c r="O34" s="156"/>
      <c r="P34" s="156"/>
      <c r="Q34" s="156"/>
      <c r="R34" s="156"/>
      <c r="S34" s="156"/>
      <c r="T34" s="156"/>
      <c r="U34" s="115"/>
      <c r="V34" s="29"/>
      <c r="AJ34" s="165"/>
      <c r="AN34" s="110"/>
      <c r="AO34" s="110"/>
      <c r="AP34" s="29"/>
    </row>
    <row r="35" spans="1:47" ht="13.5" thickBot="1" x14ac:dyDescent="0.25">
      <c r="A35" s="882" t="s">
        <v>41</v>
      </c>
      <c r="B35" s="435"/>
      <c r="C35" s="55">
        <v>6.8000000000000005E-2</v>
      </c>
      <c r="D35" s="55">
        <v>4.0000000000000001E-3</v>
      </c>
      <c r="E35" s="55">
        <v>3.4000000000000002E-2</v>
      </c>
      <c r="F35" s="55">
        <v>0.02</v>
      </c>
      <c r="G35" s="55">
        <v>7.6999999999999999E-2</v>
      </c>
      <c r="H35" s="55">
        <v>4.0000000000000001E-3</v>
      </c>
      <c r="I35" s="55">
        <v>0.02</v>
      </c>
      <c r="J35" s="55">
        <v>7.0000000000000001E-3</v>
      </c>
      <c r="K35" s="55">
        <v>2.1000000000000001E-2</v>
      </c>
      <c r="L35" s="57">
        <v>4.0000000000000001E-3</v>
      </c>
      <c r="M35" s="34"/>
      <c r="N35" s="34"/>
      <c r="O35" s="34"/>
      <c r="P35" s="34"/>
      <c r="Q35" s="34"/>
      <c r="R35" s="34"/>
      <c r="S35" s="34"/>
      <c r="T35" s="34"/>
      <c r="U35" s="29"/>
      <c r="V35" s="29"/>
      <c r="AJ35" s="165"/>
      <c r="AN35" s="29"/>
      <c r="AO35" s="29"/>
      <c r="AP35" s="29"/>
      <c r="AQ35" s="29"/>
      <c r="AR35" s="29"/>
      <c r="AS35" s="29"/>
      <c r="AT35" s="29"/>
      <c r="AU35" s="29"/>
    </row>
    <row r="36" spans="1:47" ht="13.5" thickTop="1" x14ac:dyDescent="0.2">
      <c r="A36" s="882" t="s">
        <v>40</v>
      </c>
      <c r="B36" s="435"/>
      <c r="C36" s="55">
        <v>8.5000000000000006E-2</v>
      </c>
      <c r="D36" s="55">
        <v>7.9000000000000001E-2</v>
      </c>
      <c r="E36" s="55">
        <v>6.9000000000000006E-2</v>
      </c>
      <c r="F36" s="55">
        <v>0.02</v>
      </c>
      <c r="G36" s="55">
        <v>0.18099999999999999</v>
      </c>
      <c r="H36" s="55">
        <v>0.13</v>
      </c>
      <c r="I36" s="55">
        <v>0.04</v>
      </c>
      <c r="J36" s="55">
        <v>3.5999999999999997E-2</v>
      </c>
      <c r="K36" s="55">
        <v>0.05</v>
      </c>
      <c r="L36" s="57">
        <v>5.8999999999999997E-2</v>
      </c>
      <c r="M36" s="34"/>
      <c r="N36" s="34"/>
      <c r="O36" s="34"/>
      <c r="P36" s="34"/>
      <c r="Q36" s="34"/>
      <c r="R36" s="34"/>
      <c r="S36" s="34"/>
      <c r="T36" s="34"/>
      <c r="U36" s="29"/>
      <c r="V36" s="29"/>
      <c r="W36" s="813" t="s">
        <v>577</v>
      </c>
      <c r="X36" s="710"/>
      <c r="Y36" s="710"/>
      <c r="AJ36" s="25"/>
      <c r="AN36" s="45"/>
      <c r="AO36" s="45"/>
      <c r="AP36" s="45"/>
      <c r="AQ36" s="45"/>
      <c r="AR36" s="45"/>
      <c r="AS36" s="45"/>
      <c r="AT36" s="45"/>
      <c r="AU36" s="45"/>
    </row>
    <row r="37" spans="1:47" x14ac:dyDescent="0.2">
      <c r="A37" s="882" t="s">
        <v>243</v>
      </c>
      <c r="B37" s="435"/>
      <c r="C37" s="55">
        <v>1.4999999999999999E-2</v>
      </c>
      <c r="D37" s="55">
        <v>3.1E-2</v>
      </c>
      <c r="E37" s="55">
        <v>1E-3</v>
      </c>
      <c r="F37" s="55">
        <v>7.8E-2</v>
      </c>
      <c r="G37" s="55">
        <v>9.2999999999999999E-2</v>
      </c>
      <c r="H37" s="55">
        <v>0.249</v>
      </c>
      <c r="I37" s="55">
        <v>0.05</v>
      </c>
      <c r="J37" s="55">
        <v>0.223</v>
      </c>
      <c r="K37" s="55">
        <v>6.0999999999999999E-2</v>
      </c>
      <c r="L37" s="57">
        <v>0.248</v>
      </c>
      <c r="M37" s="34"/>
      <c r="N37" s="34"/>
      <c r="O37" s="34"/>
      <c r="P37" s="34"/>
      <c r="Q37" s="34"/>
      <c r="R37" s="34"/>
      <c r="S37" s="34"/>
      <c r="T37" s="34"/>
      <c r="U37" s="25"/>
      <c r="V37" s="29"/>
      <c r="W37" s="847"/>
      <c r="X37" s="847"/>
      <c r="Y37" s="847"/>
      <c r="AJ37" s="34"/>
      <c r="AN37" s="25"/>
      <c r="AO37" s="25"/>
      <c r="AP37" s="25"/>
      <c r="AQ37" s="25"/>
      <c r="AR37" s="45"/>
      <c r="AS37" s="25"/>
      <c r="AT37" s="25"/>
      <c r="AU37" s="25"/>
    </row>
    <row r="38" spans="1:47" x14ac:dyDescent="0.2">
      <c r="A38" s="882" t="s">
        <v>244</v>
      </c>
      <c r="B38" s="435"/>
      <c r="C38" s="55">
        <v>7.2999999999999995E-2</v>
      </c>
      <c r="D38" s="55">
        <v>5.5E-2</v>
      </c>
      <c r="E38" s="55">
        <v>1.7000000000000001E-2</v>
      </c>
      <c r="F38" s="55">
        <v>0.02</v>
      </c>
      <c r="G38" s="55">
        <v>8.2000000000000003E-2</v>
      </c>
      <c r="H38" s="55">
        <v>3.1E-2</v>
      </c>
      <c r="I38" s="55">
        <v>0.01</v>
      </c>
      <c r="J38" s="55">
        <v>1E-3</v>
      </c>
      <c r="K38" s="55">
        <v>4.0000000000000001E-3</v>
      </c>
      <c r="L38" s="57">
        <v>8.9999999999999993E-3</v>
      </c>
      <c r="M38" s="34"/>
      <c r="N38" s="34"/>
      <c r="O38" s="34"/>
      <c r="P38" s="34"/>
      <c r="Q38" s="34"/>
      <c r="R38" s="34"/>
      <c r="S38" s="34"/>
      <c r="T38" s="34"/>
      <c r="U38" s="133"/>
      <c r="V38" s="29"/>
      <c r="W38" s="847"/>
      <c r="X38" s="847"/>
      <c r="Y38" s="847"/>
      <c r="AJ38" s="34"/>
      <c r="AN38" s="45"/>
      <c r="AO38" s="45"/>
      <c r="AP38" s="45"/>
      <c r="AQ38" s="29"/>
      <c r="AR38" s="45"/>
      <c r="AS38" s="45"/>
      <c r="AT38" s="45"/>
      <c r="AU38" s="45"/>
    </row>
    <row r="39" spans="1:47" ht="13.5" thickBot="1" x14ac:dyDescent="0.25">
      <c r="A39" s="882" t="s">
        <v>248</v>
      </c>
      <c r="B39" s="332"/>
      <c r="C39" s="55">
        <v>2.9000000000000001E-2</v>
      </c>
      <c r="D39" s="55">
        <v>5.2999999999999999E-2</v>
      </c>
      <c r="E39" s="55">
        <v>3.4000000000000002E-2</v>
      </c>
      <c r="F39" s="55">
        <v>0.02</v>
      </c>
      <c r="G39" s="55">
        <v>5.6000000000000001E-2</v>
      </c>
      <c r="H39" s="55">
        <v>0.08</v>
      </c>
      <c r="I39" s="55">
        <v>4.8000000000000001E-2</v>
      </c>
      <c r="J39" s="55">
        <v>7.0999999999999994E-2</v>
      </c>
      <c r="K39" s="55">
        <v>1.7999999999999999E-2</v>
      </c>
      <c r="L39" s="57">
        <v>2.9000000000000001E-2</v>
      </c>
      <c r="M39" s="34"/>
      <c r="N39" s="34"/>
      <c r="O39" s="34"/>
      <c r="P39" s="34"/>
      <c r="Q39" s="34"/>
      <c r="R39" s="34"/>
      <c r="S39" s="34"/>
      <c r="T39" s="34"/>
      <c r="U39" s="133"/>
      <c r="V39" s="133"/>
      <c r="W39" s="711"/>
      <c r="X39" s="711"/>
      <c r="Y39" s="711"/>
      <c r="AJ39" s="34"/>
      <c r="AK39" s="29"/>
      <c r="AL39" s="45"/>
      <c r="AM39" s="45"/>
      <c r="AN39" s="45"/>
      <c r="AO39" s="45"/>
      <c r="AP39" s="45"/>
      <c r="AQ39" s="29"/>
      <c r="AR39" s="45"/>
      <c r="AS39" s="45"/>
      <c r="AT39" s="45"/>
      <c r="AU39" s="45"/>
    </row>
    <row r="40" spans="1:47" ht="13.5" thickBot="1" x14ac:dyDescent="0.25">
      <c r="A40" s="150" t="s">
        <v>247</v>
      </c>
      <c r="B40" s="151"/>
      <c r="C40" s="146"/>
      <c r="D40" s="146"/>
      <c r="E40" s="146"/>
      <c r="F40" s="146"/>
      <c r="G40" s="146"/>
      <c r="H40" s="146"/>
      <c r="I40" s="146"/>
      <c r="J40" s="146"/>
      <c r="K40" s="146"/>
      <c r="L40" s="147"/>
      <c r="M40" s="10"/>
      <c r="N40" s="10"/>
      <c r="O40" s="10"/>
      <c r="P40" s="10"/>
      <c r="Q40" s="10"/>
      <c r="R40" s="10"/>
      <c r="S40" s="10"/>
      <c r="T40" s="10"/>
      <c r="U40" s="133"/>
      <c r="V40" s="133"/>
      <c r="W40" s="848" t="s">
        <v>199</v>
      </c>
      <c r="X40" s="848"/>
      <c r="Y40" s="112" t="s">
        <v>106</v>
      </c>
      <c r="AJ40" s="34"/>
      <c r="AK40" s="29"/>
      <c r="AL40" s="45"/>
      <c r="AM40" s="45"/>
      <c r="AN40" s="45"/>
      <c r="AO40" s="45"/>
      <c r="AP40" s="46"/>
      <c r="AQ40" s="29"/>
      <c r="AR40" s="45"/>
      <c r="AS40" s="45"/>
      <c r="AT40" s="45"/>
      <c r="AU40" s="45"/>
    </row>
    <row r="41" spans="1:47" x14ac:dyDescent="0.2">
      <c r="A41" s="633" t="s">
        <v>51</v>
      </c>
      <c r="B41" s="343"/>
      <c r="C41" s="696" t="s">
        <v>50</v>
      </c>
      <c r="D41" s="315"/>
      <c r="E41" s="315"/>
      <c r="F41" s="315"/>
      <c r="G41" s="315"/>
      <c r="H41" s="315"/>
      <c r="I41" s="315"/>
      <c r="J41" s="315"/>
      <c r="K41" s="315"/>
      <c r="L41" s="338"/>
      <c r="M41" s="25"/>
      <c r="N41" s="25"/>
      <c r="O41" s="25"/>
      <c r="P41" s="25"/>
      <c r="Q41" s="25"/>
      <c r="R41" s="25"/>
      <c r="S41" s="25"/>
      <c r="T41" s="25"/>
      <c r="U41" s="29"/>
      <c r="V41" s="28"/>
      <c r="W41" s="849">
        <v>10</v>
      </c>
      <c r="X41" s="323"/>
      <c r="Y41" s="119">
        <v>1.01</v>
      </c>
      <c r="AJ41" s="34"/>
      <c r="AK41" s="32"/>
      <c r="AL41" s="25"/>
      <c r="AM41" s="25"/>
      <c r="AN41" s="25"/>
      <c r="AO41" s="32"/>
      <c r="AP41" s="30"/>
      <c r="AQ41" s="29"/>
      <c r="AR41" s="25"/>
      <c r="AS41" s="25"/>
      <c r="AT41" s="25"/>
      <c r="AU41" s="32"/>
    </row>
    <row r="42" spans="1:47" x14ac:dyDescent="0.2">
      <c r="A42" s="346"/>
      <c r="B42" s="345"/>
      <c r="C42" s="563" t="s">
        <v>167</v>
      </c>
      <c r="D42" s="563"/>
      <c r="E42" s="696" t="s">
        <v>166</v>
      </c>
      <c r="F42" s="563"/>
      <c r="G42" s="696" t="s">
        <v>104</v>
      </c>
      <c r="H42" s="563"/>
      <c r="I42" s="696" t="s">
        <v>107</v>
      </c>
      <c r="J42" s="696"/>
      <c r="K42" s="696" t="s">
        <v>181</v>
      </c>
      <c r="L42" s="583"/>
      <c r="M42" s="45"/>
      <c r="N42" s="45"/>
      <c r="O42" s="45"/>
      <c r="P42" s="45"/>
      <c r="Q42" s="45"/>
      <c r="R42" s="45"/>
      <c r="S42" s="45"/>
      <c r="T42" s="45"/>
      <c r="U42" s="38"/>
      <c r="V42" s="133"/>
      <c r="W42" s="823">
        <v>15</v>
      </c>
      <c r="X42" s="333"/>
      <c r="Y42" s="13">
        <v>1</v>
      </c>
      <c r="AJ42" s="133"/>
      <c r="AK42" s="29"/>
      <c r="AL42" s="29"/>
      <c r="AM42" s="29"/>
      <c r="AN42" s="29"/>
      <c r="AO42" s="29"/>
      <c r="AP42" s="29"/>
      <c r="AQ42" s="29"/>
      <c r="AR42" s="29"/>
      <c r="AS42" s="29"/>
      <c r="AT42" s="29"/>
      <c r="AU42" s="29"/>
    </row>
    <row r="43" spans="1:47" x14ac:dyDescent="0.2">
      <c r="A43" s="394"/>
      <c r="B43" s="914"/>
      <c r="C43" s="108" t="s">
        <v>246</v>
      </c>
      <c r="D43" s="98" t="s">
        <v>97</v>
      </c>
      <c r="E43" s="108" t="s">
        <v>246</v>
      </c>
      <c r="F43" s="98" t="s">
        <v>97</v>
      </c>
      <c r="G43" s="108" t="s">
        <v>246</v>
      </c>
      <c r="H43" s="98" t="s">
        <v>97</v>
      </c>
      <c r="I43" s="108" t="s">
        <v>246</v>
      </c>
      <c r="J43" s="98" t="s">
        <v>97</v>
      </c>
      <c r="K43" s="108" t="s">
        <v>246</v>
      </c>
      <c r="L43" s="149" t="s">
        <v>97</v>
      </c>
      <c r="M43" s="136"/>
      <c r="N43" s="136"/>
      <c r="O43" s="136"/>
      <c r="P43" s="136"/>
      <c r="Q43" s="136"/>
      <c r="R43" s="136"/>
      <c r="S43" s="136"/>
      <c r="T43" s="136"/>
      <c r="U43" s="136"/>
      <c r="V43" s="133"/>
      <c r="W43" s="823">
        <v>20</v>
      </c>
      <c r="X43" s="333"/>
      <c r="Y43" s="13">
        <v>0.99</v>
      </c>
      <c r="AJ43" s="133"/>
      <c r="AK43" s="29"/>
      <c r="AL43" s="29"/>
      <c r="AM43" s="29"/>
      <c r="AN43" s="29"/>
      <c r="AO43" s="29"/>
      <c r="AP43" s="29"/>
      <c r="AQ43" s="29"/>
      <c r="AR43" s="29"/>
      <c r="AS43" s="29"/>
      <c r="AT43" s="29"/>
      <c r="AU43" s="29"/>
    </row>
    <row r="44" spans="1:47" x14ac:dyDescent="0.2">
      <c r="A44" s="820" t="s">
        <v>42</v>
      </c>
      <c r="B44" s="435"/>
      <c r="C44" s="196">
        <v>0.5</v>
      </c>
      <c r="D44" s="196">
        <v>0.1</v>
      </c>
      <c r="E44" s="196"/>
      <c r="F44" s="196"/>
      <c r="G44" s="196">
        <v>0.75</v>
      </c>
      <c r="H44" s="196"/>
      <c r="I44" s="196"/>
      <c r="J44" s="196"/>
      <c r="K44" s="196"/>
      <c r="L44" s="197"/>
      <c r="M44" s="157"/>
      <c r="N44" s="157"/>
      <c r="O44" s="157"/>
      <c r="P44" s="157"/>
      <c r="Q44" s="157"/>
      <c r="R44" s="157"/>
      <c r="S44" s="157"/>
      <c r="T44" s="157"/>
      <c r="U44" s="136"/>
      <c r="V44" s="133"/>
      <c r="W44" s="823">
        <v>30</v>
      </c>
      <c r="X44" s="333"/>
      <c r="Y44" s="13">
        <v>0.98</v>
      </c>
    </row>
    <row r="45" spans="1:47" x14ac:dyDescent="0.2">
      <c r="A45" s="882" t="s">
        <v>41</v>
      </c>
      <c r="B45" s="435"/>
      <c r="C45" s="196">
        <v>0.51</v>
      </c>
      <c r="D45" s="196">
        <v>0.11</v>
      </c>
      <c r="E45" s="196"/>
      <c r="F45" s="196"/>
      <c r="G45" s="196">
        <v>0.65</v>
      </c>
      <c r="H45" s="196"/>
      <c r="I45" s="196"/>
      <c r="J45" s="196"/>
      <c r="K45" s="196"/>
      <c r="L45" s="197"/>
      <c r="M45" s="157"/>
      <c r="N45" s="157"/>
      <c r="O45" s="157"/>
      <c r="P45" s="157"/>
      <c r="Q45" s="157"/>
      <c r="R45" s="157"/>
      <c r="S45" s="157"/>
      <c r="T45" s="157"/>
      <c r="U45" s="137"/>
      <c r="V45" s="133"/>
      <c r="W45" s="823">
        <v>40</v>
      </c>
      <c r="X45" s="333"/>
      <c r="Y45" s="13">
        <v>0.97</v>
      </c>
    </row>
    <row r="46" spans="1:47" x14ac:dyDescent="0.2">
      <c r="A46" s="882" t="s">
        <v>40</v>
      </c>
      <c r="B46" s="435"/>
      <c r="C46" s="196">
        <v>0.52</v>
      </c>
      <c r="D46" s="196">
        <v>0.12</v>
      </c>
      <c r="E46" s="196"/>
      <c r="F46" s="196"/>
      <c r="G46" s="196">
        <v>0.55000000000000004</v>
      </c>
      <c r="H46" s="196"/>
      <c r="I46" s="196"/>
      <c r="J46" s="196"/>
      <c r="K46" s="196"/>
      <c r="L46" s="197"/>
      <c r="M46" s="157"/>
      <c r="N46" s="157"/>
      <c r="O46" s="157"/>
      <c r="P46" s="157"/>
      <c r="Q46" s="157"/>
      <c r="R46" s="157"/>
      <c r="S46" s="157"/>
      <c r="T46" s="157"/>
      <c r="U46" s="138"/>
      <c r="V46" s="133"/>
      <c r="W46" s="823">
        <v>50</v>
      </c>
      <c r="X46" s="333"/>
      <c r="Y46" s="13">
        <v>0.96</v>
      </c>
    </row>
    <row r="47" spans="1:47" x14ac:dyDescent="0.2">
      <c r="A47" s="882" t="s">
        <v>243</v>
      </c>
      <c r="B47" s="435"/>
      <c r="C47" s="198">
        <v>0.53</v>
      </c>
      <c r="D47" s="198">
        <v>0.13</v>
      </c>
      <c r="E47" s="198"/>
      <c r="F47" s="198"/>
      <c r="G47" s="198">
        <v>0.45</v>
      </c>
      <c r="H47" s="198"/>
      <c r="I47" s="198"/>
      <c r="J47" s="198"/>
      <c r="K47" s="198"/>
      <c r="L47" s="199"/>
      <c r="M47" s="49"/>
      <c r="N47" s="49"/>
      <c r="O47" s="49"/>
      <c r="P47" s="49"/>
      <c r="Q47" s="49"/>
      <c r="R47" s="49"/>
      <c r="S47" s="49"/>
      <c r="T47" s="49"/>
      <c r="U47" s="10"/>
      <c r="V47" s="133"/>
      <c r="W47" s="823">
        <v>60</v>
      </c>
      <c r="X47" s="333"/>
      <c r="Y47" s="13">
        <v>0.95</v>
      </c>
    </row>
    <row r="48" spans="1:47" x14ac:dyDescent="0.2">
      <c r="A48" s="882" t="s">
        <v>244</v>
      </c>
      <c r="B48" s="435"/>
      <c r="C48" s="198">
        <v>0.54</v>
      </c>
      <c r="D48" s="198">
        <v>0.14000000000000001</v>
      </c>
      <c r="E48" s="198"/>
      <c r="F48" s="198"/>
      <c r="G48" s="198">
        <v>0.35</v>
      </c>
      <c r="H48" s="198"/>
      <c r="I48" s="198"/>
      <c r="J48" s="198"/>
      <c r="K48" s="198"/>
      <c r="L48" s="199"/>
      <c r="M48" s="49"/>
      <c r="N48" s="49"/>
      <c r="O48" s="49"/>
      <c r="P48" s="49"/>
      <c r="Q48" s="49"/>
      <c r="R48" s="49"/>
      <c r="S48" s="49"/>
      <c r="T48" s="49"/>
      <c r="U48" s="10"/>
      <c r="V48" s="133"/>
      <c r="W48" s="823">
        <v>70</v>
      </c>
      <c r="X48" s="333"/>
      <c r="Y48" s="13">
        <v>0.94</v>
      </c>
    </row>
    <row r="49" spans="1:25" ht="13.5" thickBot="1" x14ac:dyDescent="0.25">
      <c r="A49" s="883" t="s">
        <v>248</v>
      </c>
      <c r="B49" s="884"/>
      <c r="C49" s="200">
        <v>0.55000000000000004</v>
      </c>
      <c r="D49" s="200">
        <v>0.15</v>
      </c>
      <c r="E49" s="200"/>
      <c r="F49" s="200"/>
      <c r="G49" s="200">
        <v>0.25</v>
      </c>
      <c r="H49" s="200"/>
      <c r="I49" s="200"/>
      <c r="J49" s="200"/>
      <c r="K49" s="200"/>
      <c r="L49" s="201"/>
      <c r="M49" s="49"/>
      <c r="N49" s="49"/>
      <c r="O49" s="49"/>
      <c r="P49" s="49"/>
      <c r="Q49" s="49"/>
      <c r="R49" s="49"/>
      <c r="S49" s="49"/>
      <c r="T49" s="49"/>
      <c r="U49" s="10"/>
      <c r="V49" s="133"/>
      <c r="W49" s="824">
        <v>80</v>
      </c>
      <c r="X49" s="333"/>
      <c r="Y49" s="13">
        <v>0.93</v>
      </c>
    </row>
    <row r="50" spans="1:25" x14ac:dyDescent="0.2">
      <c r="A50" s="205" t="s">
        <v>560</v>
      </c>
      <c r="B50" s="22"/>
      <c r="C50" s="10"/>
      <c r="D50" s="10"/>
      <c r="E50" s="10"/>
      <c r="F50" s="10"/>
      <c r="G50" s="10"/>
      <c r="H50" s="10"/>
      <c r="I50" s="10"/>
      <c r="J50" s="10"/>
      <c r="K50" s="10"/>
      <c r="L50" s="10"/>
      <c r="M50" s="10"/>
      <c r="N50" s="10"/>
      <c r="O50" s="10"/>
      <c r="P50" s="10"/>
      <c r="Q50" s="10"/>
      <c r="R50" s="10"/>
      <c r="S50" s="10"/>
      <c r="T50" s="10"/>
      <c r="U50" s="10"/>
      <c r="V50" s="133"/>
      <c r="W50" s="824">
        <v>90</v>
      </c>
      <c r="X50" s="333"/>
      <c r="Y50" s="76">
        <v>0.93</v>
      </c>
    </row>
    <row r="51" spans="1:25" ht="13.5" thickBot="1" x14ac:dyDescent="0.25">
      <c r="A51" s="29"/>
      <c r="B51" s="29"/>
      <c r="C51" s="29"/>
      <c r="D51" s="29"/>
      <c r="E51" s="29"/>
      <c r="F51" s="29"/>
      <c r="G51" s="29"/>
      <c r="H51" s="29"/>
      <c r="I51" s="29"/>
      <c r="J51" s="29"/>
      <c r="K51" s="29"/>
      <c r="L51" s="29"/>
      <c r="M51" s="29"/>
      <c r="N51" s="29"/>
      <c r="O51" s="29"/>
      <c r="P51" s="29"/>
      <c r="Q51" s="29"/>
      <c r="R51" s="29"/>
      <c r="S51" s="29"/>
      <c r="T51" s="29"/>
      <c r="U51" s="29"/>
      <c r="V51" s="133"/>
      <c r="W51" s="825">
        <v>100</v>
      </c>
      <c r="X51" s="311"/>
      <c r="Y51" s="101">
        <v>0.92</v>
      </c>
    </row>
    <row r="52" spans="1:25" ht="13.5" thickBot="1" x14ac:dyDescent="0.25">
      <c r="A52" s="29"/>
      <c r="B52" s="29"/>
      <c r="C52" s="29"/>
      <c r="D52" s="29"/>
      <c r="E52" s="29"/>
      <c r="F52" s="29"/>
      <c r="G52" s="29"/>
      <c r="H52" s="29"/>
      <c r="I52" s="29"/>
      <c r="J52" s="29"/>
      <c r="K52" s="29"/>
      <c r="L52" s="29"/>
      <c r="M52" s="29"/>
      <c r="N52" s="29"/>
      <c r="O52" s="29"/>
      <c r="P52" s="29"/>
      <c r="Q52" s="29"/>
      <c r="R52" s="29"/>
      <c r="S52" s="29"/>
      <c r="T52" s="29"/>
      <c r="U52" s="29"/>
      <c r="V52" s="133"/>
      <c r="Y52" s="118"/>
    </row>
    <row r="53" spans="1:25" ht="13.5" thickTop="1" x14ac:dyDescent="0.2">
      <c r="A53" s="813" t="s">
        <v>563</v>
      </c>
      <c r="B53" s="813"/>
      <c r="C53" s="813"/>
      <c r="D53" s="813"/>
      <c r="E53" s="813"/>
      <c r="F53" s="813"/>
      <c r="G53" s="813"/>
      <c r="H53" s="813"/>
      <c r="I53" s="813"/>
      <c r="J53" s="850"/>
      <c r="K53" s="850"/>
      <c r="L53" s="851"/>
      <c r="M53" s="15"/>
      <c r="N53" s="29"/>
      <c r="O53" s="29"/>
      <c r="P53" s="29"/>
      <c r="Q53" s="29"/>
      <c r="R53" s="29"/>
      <c r="S53" s="29"/>
      <c r="T53" s="29"/>
      <c r="U53" s="29"/>
      <c r="V53" s="133"/>
    </row>
    <row r="54" spans="1:25" ht="13.5" thickBot="1" x14ac:dyDescent="0.25">
      <c r="A54" s="814"/>
      <c r="B54" s="814"/>
      <c r="C54" s="814"/>
      <c r="D54" s="814"/>
      <c r="E54" s="814"/>
      <c r="F54" s="814"/>
      <c r="G54" s="814"/>
      <c r="H54" s="814"/>
      <c r="I54" s="814"/>
      <c r="J54" s="852"/>
      <c r="K54" s="852"/>
      <c r="L54" s="853"/>
      <c r="M54" s="15"/>
      <c r="N54" s="29"/>
      <c r="O54" s="29"/>
      <c r="P54" s="29"/>
      <c r="Q54" s="29"/>
      <c r="R54" s="29"/>
      <c r="S54" s="29"/>
      <c r="T54" s="29"/>
      <c r="U54" s="25"/>
      <c r="V54" s="133"/>
    </row>
    <row r="55" spans="1:25" x14ac:dyDescent="0.2">
      <c r="A55" s="802" t="s">
        <v>71</v>
      </c>
      <c r="B55" s="789" t="s">
        <v>70</v>
      </c>
      <c r="C55" s="907" t="s">
        <v>245</v>
      </c>
      <c r="D55" s="908"/>
      <c r="E55" s="908"/>
      <c r="F55" s="908"/>
      <c r="G55" s="908"/>
      <c r="H55" s="908"/>
      <c r="I55" s="908"/>
      <c r="J55" s="908"/>
      <c r="K55" s="908"/>
      <c r="L55" s="909"/>
      <c r="M55" s="24"/>
      <c r="N55" s="25"/>
      <c r="O55" s="25"/>
      <c r="P55" s="25"/>
      <c r="Q55" s="25"/>
      <c r="R55" s="25"/>
      <c r="S55" s="25"/>
      <c r="T55" s="25"/>
      <c r="U55" s="34"/>
      <c r="V55" s="133"/>
    </row>
    <row r="56" spans="1:25" x14ac:dyDescent="0.2">
      <c r="A56" s="727"/>
      <c r="B56" s="906"/>
      <c r="C56" s="696" t="s">
        <v>49</v>
      </c>
      <c r="D56" s="315"/>
      <c r="E56" s="315"/>
      <c r="F56" s="315"/>
      <c r="G56" s="315"/>
      <c r="H56" s="315"/>
      <c r="I56" s="315"/>
      <c r="J56" s="315"/>
      <c r="K56" s="315"/>
      <c r="L56" s="338"/>
      <c r="M56" s="24"/>
      <c r="N56" s="25"/>
      <c r="O56" s="25"/>
      <c r="P56" s="25"/>
      <c r="Q56" s="25"/>
      <c r="R56" s="25"/>
      <c r="S56" s="25"/>
      <c r="T56" s="25"/>
      <c r="U56" s="34"/>
      <c r="V56" s="133"/>
    </row>
    <row r="57" spans="1:25" x14ac:dyDescent="0.2">
      <c r="A57" s="910" t="s">
        <v>51</v>
      </c>
      <c r="B57" s="911"/>
      <c r="C57" s="583" t="s">
        <v>167</v>
      </c>
      <c r="D57" s="582"/>
      <c r="E57" s="696" t="s">
        <v>166</v>
      </c>
      <c r="F57" s="563"/>
      <c r="G57" s="696" t="s">
        <v>104</v>
      </c>
      <c r="H57" s="563"/>
      <c r="I57" s="696" t="s">
        <v>107</v>
      </c>
      <c r="J57" s="696"/>
      <c r="K57" s="696" t="s">
        <v>181</v>
      </c>
      <c r="L57" s="583"/>
      <c r="M57" s="112"/>
      <c r="N57" s="45"/>
      <c r="O57" s="45"/>
      <c r="P57" s="45"/>
      <c r="Q57" s="45"/>
      <c r="R57" s="45"/>
      <c r="S57" s="45"/>
      <c r="T57" s="45"/>
      <c r="U57" s="34"/>
      <c r="V57" s="133"/>
    </row>
    <row r="58" spans="1:25" x14ac:dyDescent="0.2">
      <c r="A58" s="912"/>
      <c r="B58" s="913"/>
      <c r="C58" s="108" t="s">
        <v>246</v>
      </c>
      <c r="D58" s="98" t="s">
        <v>97</v>
      </c>
      <c r="E58" s="108" t="s">
        <v>246</v>
      </c>
      <c r="F58" s="98" t="s">
        <v>97</v>
      </c>
      <c r="G58" s="108" t="s">
        <v>246</v>
      </c>
      <c r="H58" s="98" t="s">
        <v>97</v>
      </c>
      <c r="I58" s="108" t="s">
        <v>246</v>
      </c>
      <c r="J58" s="98" t="s">
        <v>97</v>
      </c>
      <c r="K58" s="108" t="s">
        <v>246</v>
      </c>
      <c r="L58" s="149" t="s">
        <v>97</v>
      </c>
      <c r="M58" s="136"/>
      <c r="N58" s="136"/>
      <c r="O58" s="136"/>
      <c r="P58" s="136"/>
      <c r="Q58" s="136"/>
      <c r="R58" s="136"/>
      <c r="S58" s="136"/>
      <c r="T58" s="136"/>
      <c r="U58" s="25"/>
      <c r="V58" s="133"/>
    </row>
    <row r="59" spans="1:25" x14ac:dyDescent="0.2">
      <c r="A59" s="820" t="s">
        <v>257</v>
      </c>
      <c r="B59" s="324"/>
      <c r="C59" s="105">
        <v>2.5999999999999999E-2</v>
      </c>
      <c r="D59" s="105">
        <v>6.6000000000000003E-2</v>
      </c>
      <c r="E59" s="105">
        <v>1E-3</v>
      </c>
      <c r="F59" s="105">
        <v>1E-3</v>
      </c>
      <c r="G59" s="105">
        <v>1E-3</v>
      </c>
      <c r="H59" s="105">
        <v>1E-3</v>
      </c>
      <c r="I59" s="105">
        <v>1E-3</v>
      </c>
      <c r="J59" s="105">
        <v>6.3E-2</v>
      </c>
      <c r="K59" s="105">
        <v>1.6E-2</v>
      </c>
      <c r="L59" s="106">
        <v>4.9000000000000002E-2</v>
      </c>
      <c r="M59" s="156"/>
      <c r="N59" s="156"/>
      <c r="O59" s="156"/>
      <c r="P59" s="156"/>
      <c r="Q59" s="156"/>
      <c r="R59" s="156"/>
      <c r="S59" s="156"/>
      <c r="T59" s="156"/>
      <c r="U59" s="34"/>
      <c r="V59" s="133"/>
    </row>
    <row r="60" spans="1:25" x14ac:dyDescent="0.2">
      <c r="A60" s="882" t="s">
        <v>258</v>
      </c>
      <c r="B60" s="335"/>
      <c r="C60" s="55">
        <v>0.72299999999999998</v>
      </c>
      <c r="D60" s="55">
        <v>0.75900000000000001</v>
      </c>
      <c r="E60" s="55">
        <v>0.68799999999999994</v>
      </c>
      <c r="F60" s="55">
        <v>0.96299999999999997</v>
      </c>
      <c r="G60" s="55">
        <v>0.61199999999999999</v>
      </c>
      <c r="H60" s="55">
        <v>0.80900000000000005</v>
      </c>
      <c r="I60" s="55">
        <v>0.5</v>
      </c>
      <c r="J60" s="55">
        <v>0.81299999999999994</v>
      </c>
      <c r="K60" s="55">
        <v>0.39800000000000002</v>
      </c>
      <c r="L60" s="57">
        <v>0.76800000000000002</v>
      </c>
      <c r="M60" s="34"/>
      <c r="N60" s="34"/>
      <c r="O60" s="34"/>
      <c r="P60" s="34"/>
      <c r="Q60" s="34"/>
      <c r="R60" s="34"/>
      <c r="S60" s="34"/>
      <c r="T60" s="34"/>
      <c r="U60" s="44"/>
      <c r="V60" s="133"/>
    </row>
    <row r="61" spans="1:25" x14ac:dyDescent="0.2">
      <c r="A61" s="882" t="s">
        <v>259</v>
      </c>
      <c r="B61" s="335"/>
      <c r="C61" s="55">
        <v>0.01</v>
      </c>
      <c r="D61" s="55">
        <v>1.2999999999999999E-2</v>
      </c>
      <c r="E61" s="55">
        <v>1E-3</v>
      </c>
      <c r="F61" s="55">
        <v>1E-3</v>
      </c>
      <c r="G61" s="55">
        <v>0.02</v>
      </c>
      <c r="H61" s="55">
        <v>2.9000000000000001E-2</v>
      </c>
      <c r="I61" s="55">
        <v>2.8000000000000001E-2</v>
      </c>
      <c r="J61" s="55">
        <v>1.6E-2</v>
      </c>
      <c r="K61" s="55">
        <v>5.0000000000000001E-3</v>
      </c>
      <c r="L61" s="57">
        <v>6.0999999999999999E-2</v>
      </c>
      <c r="M61" s="34"/>
      <c r="N61" s="34"/>
      <c r="O61" s="34"/>
      <c r="P61" s="34"/>
      <c r="Q61" s="34"/>
      <c r="R61" s="34"/>
      <c r="S61" s="34"/>
      <c r="T61" s="34"/>
      <c r="U61" s="133"/>
      <c r="V61" s="133"/>
    </row>
    <row r="62" spans="1:25" ht="13.5" thickBot="1" x14ac:dyDescent="0.25">
      <c r="A62" s="104" t="s">
        <v>260</v>
      </c>
      <c r="B62" s="104"/>
      <c r="C62" s="59">
        <v>0.24099999999999999</v>
      </c>
      <c r="D62" s="59">
        <v>0.16200000000000001</v>
      </c>
      <c r="E62" s="59">
        <v>0.31</v>
      </c>
      <c r="F62" s="59">
        <v>3.5000000000000003E-2</v>
      </c>
      <c r="G62" s="59">
        <v>0.36699999999999999</v>
      </c>
      <c r="H62" s="59">
        <v>0.161</v>
      </c>
      <c r="I62" s="59">
        <v>0.47099999999999997</v>
      </c>
      <c r="J62" s="59">
        <v>0.108</v>
      </c>
      <c r="K62" s="59">
        <v>0.58099999999999996</v>
      </c>
      <c r="L62" s="103">
        <v>0.122</v>
      </c>
      <c r="M62" s="34"/>
      <c r="N62" s="34"/>
      <c r="O62" s="34"/>
      <c r="P62" s="34"/>
      <c r="Q62" s="34"/>
      <c r="R62" s="34"/>
      <c r="S62" s="34"/>
      <c r="T62" s="34"/>
      <c r="U62" s="29"/>
      <c r="V62" s="133"/>
    </row>
    <row r="63" spans="1:25" x14ac:dyDescent="0.2">
      <c r="A63" s="150" t="s">
        <v>247</v>
      </c>
      <c r="B63" s="96"/>
      <c r="C63" s="122"/>
      <c r="D63" s="122"/>
      <c r="E63" s="122"/>
      <c r="F63" s="122"/>
      <c r="G63" s="122"/>
      <c r="H63" s="122"/>
      <c r="I63" s="122"/>
      <c r="J63" s="122"/>
      <c r="K63" s="122"/>
      <c r="L63" s="123"/>
      <c r="M63" s="34"/>
      <c r="N63" s="34"/>
      <c r="O63" s="34"/>
      <c r="P63" s="34"/>
      <c r="Q63" s="34"/>
      <c r="R63" s="34"/>
      <c r="S63" s="34"/>
      <c r="T63" s="34"/>
      <c r="U63" s="25"/>
      <c r="V63" s="133"/>
    </row>
    <row r="64" spans="1:25" x14ac:dyDescent="0.2">
      <c r="A64" s="633" t="s">
        <v>51</v>
      </c>
      <c r="B64" s="343"/>
      <c r="C64" s="696" t="s">
        <v>50</v>
      </c>
      <c r="D64" s="315"/>
      <c r="E64" s="315"/>
      <c r="F64" s="315"/>
      <c r="G64" s="315"/>
      <c r="H64" s="315"/>
      <c r="I64" s="315"/>
      <c r="J64" s="315"/>
      <c r="K64" s="315"/>
      <c r="L64" s="338"/>
      <c r="M64" s="24"/>
      <c r="N64" s="25"/>
      <c r="O64" s="25"/>
      <c r="P64" s="25"/>
      <c r="Q64" s="25"/>
      <c r="R64" s="25"/>
      <c r="S64" s="25"/>
      <c r="T64" s="25"/>
      <c r="U64" s="25"/>
      <c r="V64" s="133"/>
    </row>
    <row r="65" spans="1:22" x14ac:dyDescent="0.2">
      <c r="A65" s="346"/>
      <c r="B65" s="345"/>
      <c r="C65" s="563" t="s">
        <v>167</v>
      </c>
      <c r="D65" s="563"/>
      <c r="E65" s="696" t="s">
        <v>166</v>
      </c>
      <c r="F65" s="563"/>
      <c r="G65" s="696" t="s">
        <v>104</v>
      </c>
      <c r="H65" s="563"/>
      <c r="I65" s="696" t="s">
        <v>107</v>
      </c>
      <c r="J65" s="696"/>
      <c r="K65" s="696" t="s">
        <v>181</v>
      </c>
      <c r="L65" s="583"/>
      <c r="M65" s="112"/>
      <c r="N65" s="45"/>
      <c r="O65" s="45"/>
      <c r="P65" s="45"/>
      <c r="Q65" s="45"/>
      <c r="R65" s="45"/>
      <c r="S65" s="45"/>
      <c r="T65" s="45"/>
      <c r="U65" s="139"/>
      <c r="V65" s="133"/>
    </row>
    <row r="66" spans="1:22" x14ac:dyDescent="0.2">
      <c r="A66" s="394"/>
      <c r="B66" s="914"/>
      <c r="C66" s="108" t="s">
        <v>246</v>
      </c>
      <c r="D66" s="98" t="s">
        <v>97</v>
      </c>
      <c r="E66" s="108" t="s">
        <v>246</v>
      </c>
      <c r="F66" s="98" t="s">
        <v>97</v>
      </c>
      <c r="G66" s="108" t="s">
        <v>246</v>
      </c>
      <c r="H66" s="98" t="s">
        <v>97</v>
      </c>
      <c r="I66" s="108" t="s">
        <v>246</v>
      </c>
      <c r="J66" s="98" t="s">
        <v>97</v>
      </c>
      <c r="K66" s="108" t="s">
        <v>246</v>
      </c>
      <c r="L66" s="149" t="s">
        <v>97</v>
      </c>
      <c r="M66" s="136"/>
      <c r="N66" s="136"/>
      <c r="O66" s="136"/>
      <c r="P66" s="136"/>
      <c r="Q66" s="136"/>
      <c r="R66" s="136"/>
      <c r="S66" s="136"/>
      <c r="T66" s="136"/>
      <c r="U66" s="25"/>
      <c r="V66" s="133"/>
    </row>
    <row r="67" spans="1:22" x14ac:dyDescent="0.2">
      <c r="A67" s="820" t="s">
        <v>257</v>
      </c>
      <c r="B67" s="332"/>
      <c r="C67" s="196">
        <v>0.52</v>
      </c>
      <c r="D67" s="196">
        <v>0.12</v>
      </c>
      <c r="E67" s="196"/>
      <c r="F67" s="196"/>
      <c r="G67" s="196">
        <v>0.55000000000000004</v>
      </c>
      <c r="H67" s="196"/>
      <c r="I67" s="196"/>
      <c r="J67" s="196"/>
      <c r="K67" s="196"/>
      <c r="L67" s="197"/>
      <c r="M67" s="157"/>
      <c r="N67" s="157"/>
      <c r="O67" s="157"/>
      <c r="P67" s="157"/>
      <c r="Q67" s="157"/>
      <c r="R67" s="157"/>
      <c r="S67" s="157"/>
      <c r="T67" s="157"/>
      <c r="U67" s="25"/>
      <c r="V67" s="133"/>
    </row>
    <row r="68" spans="1:22" x14ac:dyDescent="0.2">
      <c r="A68" s="882" t="s">
        <v>258</v>
      </c>
      <c r="B68" s="332"/>
      <c r="C68" s="198">
        <v>0.53</v>
      </c>
      <c r="D68" s="198">
        <v>0.13</v>
      </c>
      <c r="E68" s="198"/>
      <c r="F68" s="198"/>
      <c r="G68" s="198">
        <v>0.45</v>
      </c>
      <c r="H68" s="198"/>
      <c r="I68" s="198"/>
      <c r="J68" s="198"/>
      <c r="K68" s="198"/>
      <c r="L68" s="199"/>
      <c r="M68" s="49"/>
      <c r="N68" s="49"/>
      <c r="O68" s="49"/>
      <c r="P68" s="49"/>
      <c r="Q68" s="49"/>
      <c r="R68" s="49"/>
      <c r="S68" s="49"/>
      <c r="T68" s="49"/>
      <c r="U68" s="140"/>
      <c r="V68" s="133"/>
    </row>
    <row r="69" spans="1:22" x14ac:dyDescent="0.2">
      <c r="A69" s="882" t="s">
        <v>259</v>
      </c>
      <c r="B69" s="332"/>
      <c r="C69" s="198">
        <v>0.54</v>
      </c>
      <c r="D69" s="198">
        <v>0.14000000000000001</v>
      </c>
      <c r="E69" s="198"/>
      <c r="F69" s="198"/>
      <c r="G69" s="198">
        <v>0.35</v>
      </c>
      <c r="H69" s="198"/>
      <c r="I69" s="198"/>
      <c r="J69" s="198"/>
      <c r="K69" s="198"/>
      <c r="L69" s="199"/>
      <c r="M69" s="49"/>
      <c r="N69" s="49"/>
      <c r="O69" s="49"/>
      <c r="P69" s="49"/>
      <c r="Q69" s="49"/>
      <c r="R69" s="49"/>
      <c r="S69" s="49"/>
      <c r="T69" s="49"/>
      <c r="U69" s="25"/>
      <c r="V69" s="133"/>
    </row>
    <row r="70" spans="1:22" ht="13.5" thickBot="1" x14ac:dyDescent="0.25">
      <c r="A70" s="883" t="s">
        <v>260</v>
      </c>
      <c r="B70" s="899"/>
      <c r="C70" s="200">
        <v>0.55000000000000004</v>
      </c>
      <c r="D70" s="200">
        <v>0.15</v>
      </c>
      <c r="E70" s="200"/>
      <c r="F70" s="200"/>
      <c r="G70" s="200">
        <v>0.25</v>
      </c>
      <c r="H70" s="200"/>
      <c r="I70" s="200"/>
      <c r="J70" s="200"/>
      <c r="K70" s="200"/>
      <c r="L70" s="201"/>
      <c r="M70" s="49"/>
      <c r="N70" s="49"/>
      <c r="O70" s="49"/>
      <c r="P70" s="49"/>
      <c r="Q70" s="49"/>
      <c r="R70" s="49"/>
      <c r="S70" s="49"/>
      <c r="T70" s="49"/>
      <c r="U70" s="34"/>
      <c r="V70" s="133"/>
    </row>
    <row r="71" spans="1:22" x14ac:dyDescent="0.2">
      <c r="A71" s="58"/>
      <c r="B71" s="29"/>
      <c r="C71" s="29"/>
      <c r="D71" s="29"/>
      <c r="E71" s="133"/>
      <c r="F71" s="133"/>
      <c r="G71" s="133"/>
      <c r="H71" s="133"/>
      <c r="I71" s="133"/>
      <c r="J71" s="133"/>
      <c r="K71" s="133"/>
      <c r="L71" s="133"/>
      <c r="M71" s="133"/>
      <c r="N71" s="133"/>
      <c r="O71" s="133"/>
      <c r="P71" s="133"/>
      <c r="Q71" s="133"/>
      <c r="R71" s="133"/>
      <c r="S71" s="133"/>
      <c r="T71" s="133"/>
      <c r="U71" s="25"/>
      <c r="V71" s="133"/>
    </row>
    <row r="72" spans="1:22" x14ac:dyDescent="0.2">
      <c r="A72" s="58"/>
      <c r="B72" s="29"/>
      <c r="C72" s="29"/>
      <c r="D72" s="29"/>
      <c r="E72" s="133"/>
      <c r="F72" s="133"/>
      <c r="G72" s="133"/>
      <c r="H72" s="133"/>
      <c r="I72" s="133"/>
      <c r="J72" s="133"/>
      <c r="K72" s="133"/>
      <c r="L72" s="133"/>
      <c r="M72" s="133"/>
      <c r="N72" s="133"/>
      <c r="O72" s="133"/>
      <c r="P72" s="133"/>
      <c r="Q72" s="133"/>
      <c r="R72" s="133"/>
      <c r="S72" s="133"/>
      <c r="T72" s="133"/>
      <c r="U72" s="25"/>
      <c r="V72" s="133"/>
    </row>
    <row r="73" spans="1:22" ht="13.5" thickBot="1" x14ac:dyDescent="0.25">
      <c r="A73" s="58"/>
      <c r="B73" s="29"/>
      <c r="C73" s="29"/>
      <c r="D73" s="29"/>
      <c r="E73" s="10"/>
      <c r="F73" s="10"/>
      <c r="G73" s="10"/>
      <c r="H73" s="10"/>
      <c r="I73" s="10"/>
      <c r="J73" s="10"/>
      <c r="K73" s="10"/>
      <c r="L73" s="10"/>
      <c r="M73" s="10"/>
      <c r="N73" s="10"/>
      <c r="O73" s="133"/>
      <c r="P73" s="133"/>
      <c r="Q73" s="133"/>
      <c r="R73" s="133"/>
      <c r="S73" s="133"/>
      <c r="T73" s="133"/>
      <c r="U73" s="25"/>
      <c r="V73" s="133"/>
    </row>
    <row r="74" spans="1:22" ht="13.5" thickTop="1" x14ac:dyDescent="0.2">
      <c r="A74" s="813" t="s">
        <v>565</v>
      </c>
      <c r="B74" s="710"/>
      <c r="C74" s="710"/>
      <c r="D74" s="710"/>
      <c r="E74" s="710"/>
      <c r="F74" s="710"/>
      <c r="G74" s="710"/>
      <c r="H74" s="710"/>
      <c r="I74" s="710"/>
      <c r="J74" s="710"/>
      <c r="K74" s="153"/>
      <c r="L74" s="15"/>
      <c r="M74" s="15"/>
      <c r="N74" s="29"/>
      <c r="O74" s="29"/>
      <c r="P74" s="29"/>
      <c r="Q74" s="29"/>
      <c r="R74" s="29"/>
      <c r="S74" s="29"/>
      <c r="T74" s="29"/>
      <c r="U74" s="25"/>
      <c r="V74" s="133"/>
    </row>
    <row r="75" spans="1:22" ht="13.5" thickBot="1" x14ac:dyDescent="0.25">
      <c r="A75" s="711"/>
      <c r="B75" s="711"/>
      <c r="C75" s="711"/>
      <c r="D75" s="711"/>
      <c r="E75" s="711"/>
      <c r="F75" s="711"/>
      <c r="G75" s="711"/>
      <c r="H75" s="711"/>
      <c r="I75" s="711"/>
      <c r="J75" s="711"/>
      <c r="K75" s="153"/>
      <c r="L75" s="15"/>
      <c r="M75" s="15"/>
      <c r="N75" s="29"/>
      <c r="O75" s="29"/>
      <c r="P75" s="29"/>
      <c r="Q75" s="29"/>
      <c r="R75" s="29"/>
      <c r="S75" s="29"/>
      <c r="T75" s="29"/>
      <c r="U75" s="25"/>
      <c r="V75" s="133"/>
    </row>
    <row r="76" spans="1:22" ht="14.25" x14ac:dyDescent="0.25">
      <c r="A76" s="802" t="s">
        <v>71</v>
      </c>
      <c r="B76" s="789" t="s">
        <v>70</v>
      </c>
      <c r="C76" s="791" t="s">
        <v>343</v>
      </c>
      <c r="D76" s="350"/>
      <c r="E76" s="350"/>
      <c r="F76" s="350"/>
      <c r="G76" s="350"/>
      <c r="H76" s="350"/>
      <c r="I76" s="350"/>
      <c r="J76" s="792"/>
      <c r="K76" s="25"/>
      <c r="L76" s="25"/>
      <c r="M76" s="25"/>
      <c r="N76" s="25"/>
      <c r="O76" s="25"/>
      <c r="P76" s="25"/>
      <c r="Q76" s="25"/>
      <c r="R76" s="25"/>
      <c r="S76" s="25"/>
      <c r="T76" s="25"/>
      <c r="U76" s="25"/>
      <c r="V76" s="133"/>
    </row>
    <row r="77" spans="1:22" x14ac:dyDescent="0.2">
      <c r="A77" s="665"/>
      <c r="B77" s="790"/>
      <c r="C77" s="778" t="s">
        <v>49</v>
      </c>
      <c r="D77" s="352"/>
      <c r="E77" s="352"/>
      <c r="F77" s="352"/>
      <c r="G77" s="696" t="s">
        <v>50</v>
      </c>
      <c r="H77" s="315"/>
      <c r="I77" s="315"/>
      <c r="J77" s="338"/>
      <c r="K77" s="25"/>
      <c r="L77" s="25"/>
      <c r="M77" s="25"/>
      <c r="N77" s="25"/>
      <c r="O77" s="25"/>
      <c r="P77" s="25"/>
      <c r="Q77" s="25"/>
      <c r="R77" s="25"/>
      <c r="S77" s="25"/>
      <c r="T77" s="25"/>
      <c r="U77" s="25"/>
      <c r="V77" s="133"/>
    </row>
    <row r="78" spans="1:22" x14ac:dyDescent="0.2">
      <c r="A78" s="816" t="s">
        <v>225</v>
      </c>
      <c r="B78" s="333"/>
      <c r="C78" s="696" t="s">
        <v>340</v>
      </c>
      <c r="D78" s="563"/>
      <c r="E78" s="696" t="s">
        <v>341</v>
      </c>
      <c r="F78" s="563"/>
      <c r="G78" s="696" t="s">
        <v>340</v>
      </c>
      <c r="H78" s="563"/>
      <c r="I78" s="696" t="s">
        <v>341</v>
      </c>
      <c r="J78" s="583"/>
      <c r="K78" s="25"/>
      <c r="L78" s="25"/>
      <c r="M78" s="25"/>
      <c r="N78" s="25"/>
      <c r="O78" s="25"/>
      <c r="P78" s="25"/>
      <c r="Q78" s="25"/>
      <c r="R78" s="25"/>
      <c r="S78" s="25"/>
      <c r="T78" s="25"/>
      <c r="U78" s="25"/>
      <c r="V78" s="133"/>
    </row>
    <row r="79" spans="1:22" x14ac:dyDescent="0.2">
      <c r="A79" s="806" t="s">
        <v>167</v>
      </c>
      <c r="B79" s="807"/>
      <c r="C79" s="793">
        <v>3.5999999999999997E-2</v>
      </c>
      <c r="D79" s="334"/>
      <c r="E79" s="793">
        <v>5.0000000000000001E-3</v>
      </c>
      <c r="F79" s="334"/>
      <c r="G79" s="794">
        <v>4.1000000000000002E-2</v>
      </c>
      <c r="H79" s="795"/>
      <c r="I79" s="794">
        <v>6.0999999999999999E-2</v>
      </c>
      <c r="J79" s="796"/>
      <c r="K79" s="34"/>
      <c r="L79" s="34"/>
      <c r="M79" s="34"/>
      <c r="N79" s="34"/>
      <c r="O79" s="34"/>
      <c r="P79" s="34"/>
      <c r="Q79" s="34"/>
      <c r="R79" s="34"/>
      <c r="S79" s="34"/>
      <c r="T79" s="34"/>
      <c r="U79" s="34"/>
      <c r="V79" s="133"/>
    </row>
    <row r="80" spans="1:22" x14ac:dyDescent="0.2">
      <c r="A80" s="806" t="s">
        <v>166</v>
      </c>
      <c r="B80" s="807"/>
      <c r="C80" s="793">
        <v>4.1000000000000002E-2</v>
      </c>
      <c r="D80" s="334"/>
      <c r="E80" s="321">
        <v>1.2999999999999999E-2</v>
      </c>
      <c r="F80" s="733"/>
      <c r="G80" s="794">
        <v>4.2000000000000003E-2</v>
      </c>
      <c r="H80" s="795"/>
      <c r="I80" s="794">
        <v>6.2E-2</v>
      </c>
      <c r="J80" s="796"/>
      <c r="K80" s="34"/>
      <c r="L80" s="34"/>
      <c r="M80" s="34"/>
      <c r="N80" s="34"/>
      <c r="O80" s="34"/>
      <c r="P80" s="34"/>
      <c r="Q80" s="34"/>
      <c r="R80" s="34"/>
      <c r="S80" s="34"/>
      <c r="T80" s="34"/>
      <c r="U80" s="34"/>
      <c r="V80" s="133"/>
    </row>
    <row r="81" spans="1:22" x14ac:dyDescent="0.2">
      <c r="A81" s="806" t="s">
        <v>104</v>
      </c>
      <c r="B81" s="807"/>
      <c r="C81" s="793">
        <v>2.1999999999999999E-2</v>
      </c>
      <c r="D81" s="334"/>
      <c r="E81" s="321">
        <v>8.9999999999999993E-3</v>
      </c>
      <c r="F81" s="733"/>
      <c r="G81" s="794">
        <v>4.2999999999999997E-2</v>
      </c>
      <c r="H81" s="795"/>
      <c r="I81" s="794">
        <v>6.3E-2</v>
      </c>
      <c r="J81" s="796"/>
      <c r="K81" s="34"/>
      <c r="L81" s="34"/>
      <c r="M81" s="34"/>
      <c r="N81" s="34"/>
      <c r="O81" s="34"/>
      <c r="P81" s="34"/>
      <c r="Q81" s="34"/>
      <c r="R81" s="34"/>
      <c r="S81" s="34"/>
      <c r="T81" s="34"/>
      <c r="U81" s="34"/>
      <c r="V81" s="133"/>
    </row>
    <row r="82" spans="1:22" x14ac:dyDescent="0.2">
      <c r="A82" s="808" t="s">
        <v>107</v>
      </c>
      <c r="B82" s="809"/>
      <c r="C82" s="321">
        <v>6.7000000000000004E-2</v>
      </c>
      <c r="D82" s="733"/>
      <c r="E82" s="321">
        <v>1.9E-2</v>
      </c>
      <c r="F82" s="733"/>
      <c r="G82" s="794">
        <v>4.3999999999999997E-2</v>
      </c>
      <c r="H82" s="795"/>
      <c r="I82" s="794">
        <v>6.4000000000000001E-2</v>
      </c>
      <c r="J82" s="796"/>
      <c r="K82" s="34"/>
      <c r="L82" s="34"/>
      <c r="M82" s="34"/>
      <c r="N82" s="34"/>
      <c r="O82" s="34"/>
      <c r="P82" s="34"/>
      <c r="Q82" s="34"/>
      <c r="R82" s="34"/>
      <c r="S82" s="34"/>
      <c r="T82" s="34"/>
      <c r="U82" s="34"/>
      <c r="V82" s="133"/>
    </row>
    <row r="83" spans="1:22" ht="13.5" thickBot="1" x14ac:dyDescent="0.25">
      <c r="A83" s="799" t="s">
        <v>181</v>
      </c>
      <c r="B83" s="800"/>
      <c r="C83" s="317">
        <v>0.03</v>
      </c>
      <c r="D83" s="734"/>
      <c r="E83" s="317">
        <v>2.3E-2</v>
      </c>
      <c r="F83" s="734"/>
      <c r="G83" s="797">
        <v>4.4999999999999998E-2</v>
      </c>
      <c r="H83" s="801"/>
      <c r="I83" s="797">
        <v>6.5000000000000002E-2</v>
      </c>
      <c r="J83" s="798"/>
      <c r="K83" s="34"/>
      <c r="L83" s="34"/>
      <c r="M83" s="34"/>
      <c r="N83" s="34"/>
      <c r="O83" s="34"/>
      <c r="P83" s="34"/>
      <c r="Q83" s="34"/>
      <c r="R83" s="34"/>
      <c r="S83" s="34"/>
      <c r="T83" s="34"/>
      <c r="U83" s="34"/>
      <c r="V83" s="133"/>
    </row>
    <row r="84" spans="1:22" x14ac:dyDescent="0.2">
      <c r="A84" s="803" t="s">
        <v>345</v>
      </c>
      <c r="B84" s="804"/>
      <c r="C84" s="804"/>
      <c r="D84" s="804"/>
      <c r="E84" s="804"/>
      <c r="F84" s="804"/>
      <c r="G84" s="804"/>
      <c r="H84" s="804"/>
      <c r="I84" s="804"/>
      <c r="J84" s="804"/>
      <c r="K84" s="34"/>
      <c r="L84" s="34"/>
      <c r="M84" s="34"/>
      <c r="N84" s="34"/>
      <c r="O84" s="34"/>
      <c r="P84" s="34"/>
      <c r="Q84" s="34"/>
      <c r="R84" s="34"/>
      <c r="S84" s="34"/>
      <c r="T84" s="34"/>
      <c r="U84" s="34"/>
      <c r="V84" s="133"/>
    </row>
    <row r="85" spans="1:22" x14ac:dyDescent="0.2">
      <c r="A85" s="805"/>
      <c r="B85" s="805"/>
      <c r="C85" s="805"/>
      <c r="D85" s="805"/>
      <c r="E85" s="805"/>
      <c r="F85" s="805"/>
      <c r="G85" s="805"/>
      <c r="H85" s="805"/>
      <c r="I85" s="805"/>
      <c r="J85" s="805"/>
      <c r="K85" s="34"/>
      <c r="L85" s="34"/>
      <c r="M85" s="34"/>
      <c r="N85" s="34"/>
      <c r="O85" s="34"/>
      <c r="P85" s="34"/>
      <c r="Q85" s="34"/>
      <c r="R85" s="34"/>
      <c r="S85" s="34"/>
      <c r="T85" s="34"/>
      <c r="U85" s="34"/>
      <c r="V85" s="133"/>
    </row>
    <row r="86" spans="1:22" x14ac:dyDescent="0.2">
      <c r="A86" s="131"/>
      <c r="B86" s="131"/>
      <c r="C86" s="34"/>
      <c r="D86" s="34"/>
      <c r="E86" s="34"/>
      <c r="F86" s="34"/>
      <c r="G86" s="34"/>
      <c r="H86" s="34"/>
      <c r="I86" s="34"/>
      <c r="J86" s="34"/>
      <c r="K86" s="34"/>
      <c r="L86" s="34"/>
      <c r="M86" s="34"/>
      <c r="N86" s="34"/>
      <c r="O86" s="34"/>
      <c r="P86" s="34"/>
      <c r="Q86" s="34"/>
      <c r="R86" s="34"/>
      <c r="S86" s="34"/>
      <c r="T86" s="34"/>
      <c r="U86" s="34"/>
      <c r="V86" s="133"/>
    </row>
    <row r="87" spans="1:22" x14ac:dyDescent="0.2">
      <c r="C87" s="133"/>
      <c r="D87" s="133"/>
      <c r="E87" s="133"/>
      <c r="F87" s="133"/>
      <c r="G87" s="133"/>
      <c r="H87" s="133"/>
      <c r="I87" s="133"/>
      <c r="J87" s="133"/>
      <c r="K87" s="34"/>
      <c r="L87" s="34"/>
      <c r="M87" s="34"/>
      <c r="N87" s="34"/>
      <c r="O87" s="34"/>
      <c r="P87" s="34"/>
      <c r="Q87" s="34"/>
      <c r="R87" s="34"/>
      <c r="S87" s="34"/>
      <c r="T87" s="34"/>
      <c r="U87" s="34"/>
      <c r="V87" s="133"/>
    </row>
    <row r="88" spans="1:22" ht="13.5" thickBot="1" x14ac:dyDescent="0.25">
      <c r="C88" s="133"/>
      <c r="D88" s="133"/>
      <c r="E88" s="133"/>
      <c r="F88" s="133"/>
      <c r="G88" s="133"/>
      <c r="H88" s="133"/>
      <c r="I88" s="133"/>
      <c r="J88" s="133"/>
      <c r="K88" s="34"/>
      <c r="L88" s="34"/>
      <c r="M88" s="34"/>
      <c r="N88" s="34"/>
      <c r="O88" s="34"/>
      <c r="P88" s="34"/>
      <c r="Q88" s="34"/>
      <c r="R88" s="34"/>
      <c r="S88" s="34"/>
      <c r="T88" s="34"/>
      <c r="U88" s="34"/>
      <c r="V88" s="133"/>
    </row>
    <row r="89" spans="1:22" ht="13.5" thickTop="1" x14ac:dyDescent="0.2">
      <c r="A89" s="813" t="s">
        <v>566</v>
      </c>
      <c r="B89" s="710"/>
      <c r="C89" s="710"/>
      <c r="D89" s="710"/>
      <c r="E89" s="710"/>
      <c r="F89" s="710"/>
      <c r="G89" s="710"/>
      <c r="H89" s="710"/>
      <c r="I89" s="710"/>
      <c r="J89" s="710"/>
      <c r="K89" s="34"/>
      <c r="L89" s="34"/>
      <c r="M89" s="34"/>
      <c r="N89" s="34"/>
      <c r="O89" s="34"/>
      <c r="P89" s="34"/>
      <c r="Q89" s="34"/>
      <c r="R89" s="34"/>
      <c r="S89" s="34"/>
      <c r="T89" s="34"/>
      <c r="U89" s="34"/>
      <c r="V89" s="133"/>
    </row>
    <row r="90" spans="1:22" ht="13.5" thickBot="1" x14ac:dyDescent="0.25">
      <c r="A90" s="711"/>
      <c r="B90" s="711"/>
      <c r="C90" s="711"/>
      <c r="D90" s="711"/>
      <c r="E90" s="711"/>
      <c r="F90" s="711"/>
      <c r="G90" s="711"/>
      <c r="H90" s="711"/>
      <c r="I90" s="711"/>
      <c r="J90" s="711"/>
      <c r="K90" s="34"/>
      <c r="L90" s="34"/>
      <c r="M90" s="34"/>
      <c r="N90" s="34"/>
      <c r="O90" s="34"/>
      <c r="P90" s="34"/>
      <c r="Q90" s="34"/>
      <c r="R90" s="34"/>
      <c r="S90" s="34"/>
      <c r="T90" s="34"/>
      <c r="U90" s="34"/>
      <c r="V90" s="133"/>
    </row>
    <row r="91" spans="1:22" ht="14.25" x14ac:dyDescent="0.25">
      <c r="A91" s="802" t="s">
        <v>71</v>
      </c>
      <c r="B91" s="789" t="s">
        <v>70</v>
      </c>
      <c r="C91" s="791" t="s">
        <v>344</v>
      </c>
      <c r="D91" s="350"/>
      <c r="E91" s="350"/>
      <c r="F91" s="350"/>
      <c r="G91" s="350"/>
      <c r="H91" s="350"/>
      <c r="I91" s="350"/>
      <c r="J91" s="792"/>
      <c r="K91" s="34"/>
      <c r="L91" s="34"/>
      <c r="M91" s="34"/>
      <c r="N91" s="34"/>
      <c r="O91" s="34"/>
      <c r="P91" s="34"/>
      <c r="Q91" s="34"/>
      <c r="R91" s="34"/>
      <c r="S91" s="34"/>
      <c r="T91" s="34"/>
      <c r="U91" s="34"/>
      <c r="V91" s="133"/>
    </row>
    <row r="92" spans="1:22" x14ac:dyDescent="0.2">
      <c r="A92" s="665"/>
      <c r="B92" s="790"/>
      <c r="C92" s="778" t="s">
        <v>49</v>
      </c>
      <c r="D92" s="352"/>
      <c r="E92" s="352"/>
      <c r="F92" s="352"/>
      <c r="G92" s="696" t="s">
        <v>50</v>
      </c>
      <c r="H92" s="315"/>
      <c r="I92" s="315"/>
      <c r="J92" s="338"/>
      <c r="K92" s="34"/>
      <c r="L92" s="34"/>
      <c r="M92" s="34"/>
      <c r="N92" s="34"/>
      <c r="O92" s="34"/>
      <c r="P92" s="34"/>
      <c r="Q92" s="34"/>
      <c r="R92" s="34"/>
      <c r="S92" s="34"/>
      <c r="T92" s="34"/>
      <c r="U92" s="34"/>
      <c r="V92" s="133"/>
    </row>
    <row r="93" spans="1:22" x14ac:dyDescent="0.2">
      <c r="A93" s="816" t="s">
        <v>225</v>
      </c>
      <c r="B93" s="333"/>
      <c r="C93" s="696" t="s">
        <v>340</v>
      </c>
      <c r="D93" s="563"/>
      <c r="E93" s="696" t="s">
        <v>341</v>
      </c>
      <c r="F93" s="563"/>
      <c r="G93" s="696" t="s">
        <v>340</v>
      </c>
      <c r="H93" s="563"/>
      <c r="I93" s="696" t="s">
        <v>341</v>
      </c>
      <c r="J93" s="583"/>
      <c r="K93" s="34"/>
      <c r="L93" s="34"/>
      <c r="M93" s="34"/>
      <c r="N93" s="34"/>
      <c r="O93" s="34"/>
      <c r="P93" s="34"/>
      <c r="Q93" s="34"/>
      <c r="R93" s="34"/>
      <c r="S93" s="34"/>
      <c r="T93" s="34"/>
      <c r="U93" s="34"/>
      <c r="V93" s="133"/>
    </row>
    <row r="94" spans="1:22" x14ac:dyDescent="0.2">
      <c r="A94" s="806" t="s">
        <v>167</v>
      </c>
      <c r="B94" s="807"/>
      <c r="C94" s="793">
        <v>1.7999999999999999E-2</v>
      </c>
      <c r="D94" s="334"/>
      <c r="E94" s="793">
        <v>4.0000000000000001E-3</v>
      </c>
      <c r="F94" s="334"/>
      <c r="G94" s="828">
        <v>2.1000000000000001E-2</v>
      </c>
      <c r="H94" s="795"/>
      <c r="I94" s="794">
        <v>3.1E-2</v>
      </c>
      <c r="J94" s="796"/>
      <c r="K94" s="34"/>
      <c r="L94" s="34"/>
      <c r="M94" s="34"/>
      <c r="N94" s="34"/>
      <c r="O94" s="34"/>
      <c r="P94" s="34"/>
      <c r="Q94" s="34"/>
      <c r="R94" s="34"/>
      <c r="S94" s="34"/>
      <c r="T94" s="34"/>
      <c r="U94" s="34"/>
      <c r="V94" s="133"/>
    </row>
    <row r="95" spans="1:22" x14ac:dyDescent="0.2">
      <c r="A95" s="806" t="s">
        <v>166</v>
      </c>
      <c r="B95" s="807"/>
      <c r="C95" s="793">
        <v>2.7E-2</v>
      </c>
      <c r="D95" s="334"/>
      <c r="E95" s="321">
        <v>7.0000000000000001E-3</v>
      </c>
      <c r="F95" s="733"/>
      <c r="G95" s="794">
        <v>2.1999999999999999E-2</v>
      </c>
      <c r="H95" s="795"/>
      <c r="I95" s="794">
        <v>3.2000000000000001E-2</v>
      </c>
      <c r="J95" s="796"/>
      <c r="K95" s="34"/>
      <c r="L95" s="34"/>
      <c r="M95" s="34"/>
      <c r="N95" s="34"/>
      <c r="O95" s="34"/>
      <c r="P95" s="34"/>
      <c r="Q95" s="34"/>
      <c r="R95" s="34"/>
      <c r="S95" s="34"/>
      <c r="T95" s="34"/>
      <c r="U95" s="34"/>
      <c r="V95" s="133"/>
    </row>
    <row r="96" spans="1:22" x14ac:dyDescent="0.2">
      <c r="A96" s="806" t="s">
        <v>104</v>
      </c>
      <c r="B96" s="807"/>
      <c r="C96" s="793">
        <v>1.0999999999999999E-2</v>
      </c>
      <c r="D96" s="334"/>
      <c r="E96" s="321">
        <v>2E-3</v>
      </c>
      <c r="F96" s="733"/>
      <c r="G96" s="794">
        <v>2.3E-2</v>
      </c>
      <c r="H96" s="795"/>
      <c r="I96" s="794">
        <v>3.3000000000000002E-2</v>
      </c>
      <c r="J96" s="796"/>
      <c r="K96" s="34"/>
      <c r="L96" s="34"/>
      <c r="M96" s="34"/>
      <c r="N96" s="34"/>
      <c r="O96" s="34"/>
      <c r="P96" s="34"/>
      <c r="Q96" s="34"/>
      <c r="R96" s="34"/>
      <c r="S96" s="34"/>
      <c r="T96" s="34"/>
      <c r="U96" s="34"/>
      <c r="V96" s="133"/>
    </row>
    <row r="97" spans="1:22" x14ac:dyDescent="0.2">
      <c r="A97" s="808" t="s">
        <v>107</v>
      </c>
      <c r="B97" s="809"/>
      <c r="C97" s="321">
        <v>1.2999999999999999E-2</v>
      </c>
      <c r="D97" s="733"/>
      <c r="E97" s="321">
        <v>5.0000000000000001E-3</v>
      </c>
      <c r="F97" s="733"/>
      <c r="G97" s="794">
        <v>2.4E-2</v>
      </c>
      <c r="H97" s="795"/>
      <c r="I97" s="794">
        <v>3.4000000000000002E-2</v>
      </c>
      <c r="J97" s="796"/>
      <c r="K97" s="34"/>
      <c r="L97" s="34"/>
      <c r="M97" s="34"/>
      <c r="N97" s="34"/>
      <c r="O97" s="34"/>
      <c r="P97" s="34"/>
      <c r="Q97" s="34"/>
      <c r="R97" s="34"/>
      <c r="S97" s="34"/>
      <c r="T97" s="34"/>
      <c r="U97" s="34"/>
      <c r="V97" s="133"/>
    </row>
    <row r="98" spans="1:22" ht="13.5" thickBot="1" x14ac:dyDescent="0.25">
      <c r="A98" s="799" t="s">
        <v>181</v>
      </c>
      <c r="B98" s="800"/>
      <c r="C98" s="317">
        <v>0.05</v>
      </c>
      <c r="D98" s="734"/>
      <c r="E98" s="317">
        <v>1.2E-2</v>
      </c>
      <c r="F98" s="734"/>
      <c r="G98" s="797">
        <v>2.5000000000000001E-2</v>
      </c>
      <c r="H98" s="801"/>
      <c r="I98" s="797">
        <v>3.5000000000000003E-2</v>
      </c>
      <c r="J98" s="798"/>
      <c r="K98" s="34"/>
      <c r="L98" s="34"/>
      <c r="M98" s="34"/>
      <c r="N98" s="34"/>
      <c r="O98" s="34"/>
      <c r="P98" s="34"/>
      <c r="Q98" s="34"/>
      <c r="R98" s="34"/>
      <c r="S98" s="34"/>
      <c r="T98" s="34"/>
      <c r="U98" s="34"/>
      <c r="V98" s="133"/>
    </row>
    <row r="99" spans="1:22" x14ac:dyDescent="0.2">
      <c r="A99" s="803" t="s">
        <v>346</v>
      </c>
      <c r="B99" s="804"/>
      <c r="C99" s="804"/>
      <c r="D99" s="804"/>
      <c r="E99" s="804"/>
      <c r="F99" s="804"/>
      <c r="G99" s="804"/>
      <c r="H99" s="804"/>
      <c r="I99" s="804"/>
      <c r="J99" s="804"/>
      <c r="K99" s="34"/>
      <c r="L99" s="34"/>
      <c r="M99" s="34"/>
      <c r="N99" s="34"/>
      <c r="O99" s="34"/>
      <c r="P99" s="34"/>
      <c r="Q99" s="34"/>
      <c r="R99" s="34"/>
      <c r="S99" s="34"/>
      <c r="T99" s="34"/>
      <c r="U99" s="34"/>
      <c r="V99" s="133"/>
    </row>
    <row r="100" spans="1:22" x14ac:dyDescent="0.2">
      <c r="A100" s="805"/>
      <c r="B100" s="805"/>
      <c r="C100" s="805"/>
      <c r="D100" s="805"/>
      <c r="E100" s="805"/>
      <c r="F100" s="805"/>
      <c r="G100" s="805"/>
      <c r="H100" s="805"/>
      <c r="I100" s="805"/>
      <c r="J100" s="805"/>
      <c r="K100" s="34"/>
      <c r="L100" s="34"/>
      <c r="M100" s="34"/>
      <c r="N100" s="34"/>
      <c r="O100" s="34"/>
      <c r="P100" s="34"/>
      <c r="Q100" s="34"/>
      <c r="R100" s="34"/>
      <c r="S100" s="34"/>
      <c r="T100" s="34"/>
      <c r="U100" s="34"/>
      <c r="V100" s="133"/>
    </row>
    <row r="101" spans="1:22" x14ac:dyDescent="0.2">
      <c r="C101" s="133"/>
      <c r="D101" s="133"/>
      <c r="E101" s="133"/>
      <c r="F101" s="133"/>
      <c r="G101" s="133"/>
      <c r="H101" s="133"/>
      <c r="I101" s="133"/>
      <c r="J101" s="133"/>
      <c r="K101" s="34"/>
      <c r="L101" s="34"/>
      <c r="M101" s="34"/>
      <c r="N101" s="34"/>
      <c r="O101" s="34"/>
      <c r="P101" s="34"/>
      <c r="Q101" s="34"/>
      <c r="R101" s="34"/>
      <c r="S101" s="34"/>
      <c r="T101" s="34"/>
      <c r="U101" s="34"/>
      <c r="V101" s="133"/>
    </row>
    <row r="102" spans="1:22" x14ac:dyDescent="0.2">
      <c r="C102" s="133"/>
      <c r="D102" s="133"/>
      <c r="E102" s="133"/>
      <c r="F102" s="133"/>
      <c r="G102" s="133"/>
      <c r="H102" s="133"/>
      <c r="I102" s="133"/>
      <c r="J102" s="133"/>
      <c r="K102" s="34"/>
      <c r="L102" s="34"/>
      <c r="M102" s="34"/>
      <c r="N102" s="34"/>
      <c r="O102" s="34"/>
      <c r="P102" s="34"/>
      <c r="Q102" s="34"/>
      <c r="R102" s="34"/>
      <c r="S102" s="34"/>
      <c r="T102" s="34"/>
      <c r="U102" s="34"/>
      <c r="V102" s="133"/>
    </row>
    <row r="103" spans="1:22" ht="13.5" thickBot="1" x14ac:dyDescent="0.25">
      <c r="A103" s="25"/>
      <c r="B103" s="25"/>
      <c r="C103" s="25"/>
      <c r="D103" s="25"/>
      <c r="E103" s="25"/>
      <c r="F103" s="25"/>
      <c r="G103" s="25"/>
      <c r="H103" s="133"/>
      <c r="I103" s="133"/>
      <c r="J103" s="133"/>
      <c r="K103" s="34"/>
      <c r="L103" s="34"/>
      <c r="M103" s="34"/>
      <c r="N103" s="34"/>
      <c r="O103" s="34"/>
      <c r="P103" s="34"/>
      <c r="Q103" s="34"/>
      <c r="R103" s="34"/>
      <c r="S103" s="34"/>
      <c r="T103" s="34"/>
      <c r="U103" s="34"/>
      <c r="V103" s="133"/>
    </row>
    <row r="104" spans="1:22" ht="13.5" thickTop="1" x14ac:dyDescent="0.2">
      <c r="A104" s="859" t="s">
        <v>576</v>
      </c>
      <c r="B104" s="902"/>
      <c r="C104" s="902"/>
      <c r="D104" s="902"/>
      <c r="E104" s="902"/>
      <c r="F104" s="902"/>
      <c r="G104" s="902"/>
      <c r="H104" s="133"/>
      <c r="I104" s="133"/>
      <c r="J104" s="133"/>
      <c r="K104" s="34"/>
      <c r="L104" s="34"/>
      <c r="M104" s="34"/>
      <c r="N104" s="34"/>
      <c r="O104" s="34"/>
      <c r="P104" s="34"/>
      <c r="Q104" s="34"/>
      <c r="R104" s="34"/>
      <c r="S104" s="34"/>
      <c r="T104" s="34"/>
      <c r="U104" s="34"/>
      <c r="V104" s="133"/>
    </row>
    <row r="105" spans="1:22" ht="13.5" thickBot="1" x14ac:dyDescent="0.25">
      <c r="A105" s="903"/>
      <c r="B105" s="903"/>
      <c r="C105" s="903"/>
      <c r="D105" s="903"/>
      <c r="E105" s="903"/>
      <c r="F105" s="903"/>
      <c r="G105" s="903"/>
      <c r="H105" s="133"/>
      <c r="I105" s="133"/>
      <c r="J105" s="133"/>
      <c r="K105" s="44"/>
      <c r="L105" s="44"/>
      <c r="M105" s="44"/>
      <c r="N105" s="44"/>
      <c r="O105" s="44"/>
      <c r="P105" s="44"/>
      <c r="Q105" s="44"/>
      <c r="R105" s="44"/>
      <c r="S105" s="44"/>
      <c r="T105" s="44"/>
      <c r="U105" s="44"/>
      <c r="V105" s="133"/>
    </row>
    <row r="106" spans="1:22" x14ac:dyDescent="0.2">
      <c r="A106" s="897" t="s">
        <v>180</v>
      </c>
      <c r="B106" s="898"/>
      <c r="C106" s="898"/>
      <c r="D106" s="878" t="s">
        <v>49</v>
      </c>
      <c r="E106" s="904"/>
      <c r="F106" s="593" t="s">
        <v>50</v>
      </c>
      <c r="G106" s="841"/>
      <c r="H106" s="133"/>
      <c r="I106" s="133"/>
      <c r="J106" s="133"/>
      <c r="K106" s="29"/>
      <c r="L106" s="29"/>
      <c r="M106" s="29"/>
      <c r="N106" s="29"/>
      <c r="O106" s="29"/>
      <c r="P106" s="29"/>
      <c r="Q106" s="29"/>
      <c r="R106" s="29"/>
      <c r="S106" s="29"/>
      <c r="T106" s="29"/>
      <c r="U106" s="29"/>
      <c r="V106" s="133"/>
    </row>
    <row r="107" spans="1:22" x14ac:dyDescent="0.2">
      <c r="A107" s="888"/>
      <c r="B107" s="889"/>
      <c r="C107" s="889"/>
      <c r="D107" s="778" t="s">
        <v>197</v>
      </c>
      <c r="E107" s="352"/>
      <c r="F107" s="778" t="s">
        <v>197</v>
      </c>
      <c r="G107" s="826"/>
      <c r="H107" s="133"/>
      <c r="I107" s="133"/>
      <c r="J107" s="133"/>
      <c r="K107" s="29"/>
      <c r="L107" s="29"/>
      <c r="M107" s="29"/>
      <c r="N107" s="29"/>
      <c r="O107" s="29"/>
      <c r="P107" s="29"/>
      <c r="Q107" s="29"/>
      <c r="R107" s="29"/>
      <c r="S107" s="29"/>
      <c r="T107" s="29"/>
      <c r="U107" s="29"/>
      <c r="V107" s="133"/>
    </row>
    <row r="108" spans="1:22" x14ac:dyDescent="0.2">
      <c r="A108" s="628" t="s">
        <v>71</v>
      </c>
      <c r="B108" s="315"/>
      <c r="C108" s="202" t="s">
        <v>70</v>
      </c>
      <c r="D108" s="352"/>
      <c r="E108" s="352"/>
      <c r="F108" s="352"/>
      <c r="G108" s="826"/>
      <c r="H108" s="133"/>
      <c r="I108" s="133"/>
      <c r="J108" s="133"/>
      <c r="K108" s="35"/>
      <c r="L108" s="35"/>
      <c r="M108" s="35"/>
      <c r="N108" s="35"/>
      <c r="O108" s="35"/>
      <c r="P108" s="35"/>
      <c r="Q108" s="35"/>
      <c r="R108" s="35"/>
      <c r="S108" s="35"/>
      <c r="T108" s="35"/>
      <c r="U108" s="35"/>
      <c r="V108" s="133"/>
    </row>
    <row r="109" spans="1:22" x14ac:dyDescent="0.2">
      <c r="A109" s="905"/>
      <c r="B109" s="435"/>
      <c r="C109" s="332"/>
      <c r="D109" s="353"/>
      <c r="E109" s="353"/>
      <c r="F109" s="353"/>
      <c r="G109" s="827"/>
      <c r="H109" s="133"/>
      <c r="I109" s="133"/>
      <c r="J109" s="133"/>
      <c r="K109" s="25"/>
      <c r="L109" s="25"/>
      <c r="M109" s="25"/>
      <c r="N109" s="25"/>
      <c r="O109" s="25"/>
      <c r="P109" s="25"/>
      <c r="Q109" s="25"/>
      <c r="R109" s="25"/>
      <c r="S109" s="25"/>
      <c r="T109" s="25"/>
      <c r="U109" s="25"/>
      <c r="V109" s="133"/>
    </row>
    <row r="110" spans="1:22" x14ac:dyDescent="0.2">
      <c r="A110" s="628" t="s">
        <v>167</v>
      </c>
      <c r="B110" s="315"/>
      <c r="C110" s="315"/>
      <c r="D110" s="810">
        <v>5.8999999999999997E-2</v>
      </c>
      <c r="E110" s="811"/>
      <c r="F110" s="900">
        <v>0.05</v>
      </c>
      <c r="G110" s="901"/>
      <c r="H110" s="133"/>
      <c r="I110" s="133"/>
      <c r="J110" s="133"/>
      <c r="K110" s="45"/>
      <c r="L110" s="45"/>
      <c r="M110" s="45"/>
      <c r="N110" s="45"/>
      <c r="O110" s="45"/>
      <c r="P110" s="45"/>
      <c r="Q110" s="45"/>
      <c r="R110" s="45"/>
      <c r="S110" s="45"/>
      <c r="T110" s="45"/>
      <c r="U110" s="45"/>
      <c r="V110" s="133"/>
    </row>
    <row r="111" spans="1:22" x14ac:dyDescent="0.2">
      <c r="A111" s="628" t="s">
        <v>166</v>
      </c>
      <c r="B111" s="315"/>
      <c r="C111" s="315"/>
      <c r="D111" s="811">
        <v>3.4000000000000002E-2</v>
      </c>
      <c r="E111" s="811"/>
      <c r="F111" s="900">
        <v>0.06</v>
      </c>
      <c r="G111" s="901"/>
      <c r="H111" s="25"/>
      <c r="I111" s="25"/>
      <c r="J111" s="25"/>
      <c r="K111" s="25"/>
      <c r="L111" s="25"/>
      <c r="M111" s="25"/>
      <c r="N111" s="25"/>
      <c r="O111" s="25"/>
      <c r="P111" s="25"/>
      <c r="Q111" s="25"/>
      <c r="R111" s="25"/>
      <c r="S111" s="25"/>
      <c r="T111" s="25"/>
      <c r="U111" s="25"/>
      <c r="V111" s="133"/>
    </row>
    <row r="112" spans="1:22" x14ac:dyDescent="0.2">
      <c r="A112" s="628" t="s">
        <v>104</v>
      </c>
      <c r="B112" s="315"/>
      <c r="C112" s="315"/>
      <c r="D112" s="338">
        <v>3.6999999999999998E-2</v>
      </c>
      <c r="E112" s="336"/>
      <c r="F112" s="821">
        <v>7.0000000000000007E-2</v>
      </c>
      <c r="G112" s="794"/>
      <c r="H112" s="11"/>
      <c r="I112" s="11"/>
      <c r="J112" s="11"/>
      <c r="K112" s="11"/>
      <c r="L112" s="11"/>
      <c r="M112" s="11"/>
      <c r="N112" s="11"/>
      <c r="O112" s="11"/>
      <c r="P112" s="11"/>
      <c r="Q112" s="11"/>
      <c r="R112" s="11"/>
      <c r="S112" s="11"/>
      <c r="T112" s="11"/>
      <c r="U112" s="11"/>
      <c r="V112" s="133"/>
    </row>
    <row r="113" spans="1:22" x14ac:dyDescent="0.2">
      <c r="A113" s="628" t="s">
        <v>107</v>
      </c>
      <c r="B113" s="315"/>
      <c r="C113" s="315"/>
      <c r="D113" s="822">
        <v>3.5999999999999997E-2</v>
      </c>
      <c r="E113" s="315"/>
      <c r="F113" s="821">
        <v>0.08</v>
      </c>
      <c r="G113" s="794"/>
      <c r="H113" s="11"/>
      <c r="I113" s="11"/>
      <c r="J113" s="11"/>
      <c r="K113" s="11"/>
      <c r="L113" s="11"/>
      <c r="M113" s="11"/>
      <c r="N113" s="11"/>
      <c r="O113" s="11"/>
      <c r="P113" s="11"/>
      <c r="Q113" s="11"/>
      <c r="R113" s="11"/>
      <c r="S113" s="11"/>
      <c r="T113" s="11"/>
      <c r="U113" s="11"/>
      <c r="V113" s="133"/>
    </row>
    <row r="114" spans="1:22" ht="13.5" thickBot="1" x14ac:dyDescent="0.25">
      <c r="A114" s="880" t="s">
        <v>181</v>
      </c>
      <c r="B114" s="562"/>
      <c r="C114" s="562"/>
      <c r="D114" s="895">
        <v>1.6E-2</v>
      </c>
      <c r="E114" s="895"/>
      <c r="F114" s="896">
        <v>0.08</v>
      </c>
      <c r="G114" s="797"/>
      <c r="H114" s="11"/>
      <c r="I114" s="11"/>
      <c r="J114" s="11"/>
      <c r="K114" s="11"/>
      <c r="L114" s="11"/>
      <c r="M114" s="11"/>
      <c r="N114" s="11"/>
      <c r="O114" s="11"/>
      <c r="P114" s="11"/>
      <c r="Q114" s="11"/>
      <c r="R114" s="11"/>
      <c r="S114" s="11"/>
      <c r="T114" s="11"/>
      <c r="U114" s="11"/>
      <c r="V114" s="133"/>
    </row>
    <row r="115" spans="1:22" x14ac:dyDescent="0.2">
      <c r="A115" s="70"/>
      <c r="B115" s="71"/>
      <c r="C115" s="71"/>
      <c r="F115" s="34"/>
      <c r="G115" s="34"/>
      <c r="H115" s="11"/>
      <c r="I115" s="11"/>
      <c r="J115" s="11"/>
      <c r="K115" s="11"/>
      <c r="L115" s="11"/>
      <c r="M115" s="11"/>
      <c r="N115" s="11"/>
      <c r="O115" s="11"/>
      <c r="P115" s="11"/>
      <c r="Q115" s="11"/>
      <c r="R115" s="11"/>
      <c r="S115" s="11"/>
      <c r="T115" s="11"/>
      <c r="U115" s="11"/>
      <c r="V115" s="133"/>
    </row>
    <row r="116" spans="1:22" x14ac:dyDescent="0.2">
      <c r="A116" s="61"/>
      <c r="B116" s="61"/>
      <c r="C116" s="44"/>
      <c r="D116" s="44"/>
      <c r="E116" s="44"/>
      <c r="F116" s="44"/>
      <c r="G116" s="44"/>
      <c r="H116" s="44"/>
      <c r="I116" s="44"/>
      <c r="J116" s="44"/>
      <c r="K116" s="44"/>
      <c r="L116" s="44"/>
      <c r="M116" s="44"/>
      <c r="N116" s="44"/>
      <c r="O116" s="44"/>
      <c r="P116" s="44"/>
      <c r="Q116" s="44"/>
      <c r="R116" s="44"/>
      <c r="S116" s="44"/>
      <c r="T116" s="44"/>
      <c r="U116" s="44"/>
      <c r="V116" s="133"/>
    </row>
    <row r="117" spans="1:22" ht="13.5" thickBot="1" x14ac:dyDescent="0.25">
      <c r="A117" s="70"/>
      <c r="B117" s="71"/>
      <c r="C117" s="71"/>
      <c r="D117" s="34"/>
      <c r="E117" s="34"/>
      <c r="F117" s="34"/>
      <c r="G117" s="34"/>
      <c r="H117" s="34"/>
      <c r="I117" s="34"/>
      <c r="J117" s="34"/>
      <c r="K117" s="34"/>
      <c r="L117" s="29"/>
      <c r="N117" s="133"/>
      <c r="O117" s="133"/>
      <c r="P117" s="133"/>
      <c r="Q117" s="133"/>
      <c r="R117" s="133"/>
      <c r="S117" s="133"/>
      <c r="T117" s="133"/>
      <c r="U117" s="133"/>
      <c r="V117" s="133"/>
    </row>
    <row r="118" spans="1:22" ht="13.5" thickTop="1" x14ac:dyDescent="0.2">
      <c r="A118" s="812" t="s">
        <v>578</v>
      </c>
      <c r="B118" s="813"/>
      <c r="C118" s="813"/>
      <c r="D118" s="813"/>
      <c r="E118" s="813"/>
      <c r="F118" s="813"/>
      <c r="G118" s="813"/>
      <c r="H118" s="813"/>
      <c r="I118" s="813"/>
      <c r="J118" s="813"/>
      <c r="K118" s="813"/>
      <c r="L118" s="813"/>
      <c r="M118" s="813"/>
      <c r="N118" s="133"/>
      <c r="O118" s="133"/>
      <c r="P118" s="133"/>
      <c r="Q118" s="133"/>
      <c r="R118" s="133"/>
      <c r="S118" s="133"/>
      <c r="T118" s="133"/>
      <c r="U118" s="133"/>
      <c r="V118" s="133"/>
    </row>
    <row r="119" spans="1:22" ht="13.5" thickBot="1" x14ac:dyDescent="0.25">
      <c r="A119" s="814"/>
      <c r="B119" s="814"/>
      <c r="C119" s="814"/>
      <c r="D119" s="814"/>
      <c r="E119" s="814"/>
      <c r="F119" s="814"/>
      <c r="G119" s="814"/>
      <c r="H119" s="814"/>
      <c r="I119" s="814"/>
      <c r="J119" s="814"/>
      <c r="K119" s="814"/>
      <c r="L119" s="814"/>
      <c r="M119" s="814"/>
      <c r="N119" s="133"/>
      <c r="O119" s="133"/>
      <c r="P119" s="133"/>
      <c r="Q119" s="133"/>
      <c r="R119" s="133"/>
      <c r="S119" s="133"/>
      <c r="T119" s="133"/>
      <c r="U119" s="133"/>
      <c r="V119" s="133"/>
    </row>
    <row r="120" spans="1:22" x14ac:dyDescent="0.2">
      <c r="A120" s="886" t="s">
        <v>180</v>
      </c>
      <c r="B120" s="887"/>
      <c r="C120" s="887"/>
      <c r="D120" s="791" t="s">
        <v>49</v>
      </c>
      <c r="E120" s="350"/>
      <c r="F120" s="350"/>
      <c r="G120" s="350"/>
      <c r="H120" s="350"/>
      <c r="I120" s="890" t="s">
        <v>50</v>
      </c>
      <c r="J120" s="891"/>
      <c r="K120" s="891"/>
      <c r="L120" s="891"/>
      <c r="M120" s="892"/>
      <c r="N120" s="133"/>
      <c r="O120" s="133"/>
      <c r="P120" s="133"/>
      <c r="Q120" s="133"/>
      <c r="R120" s="133"/>
      <c r="S120" s="133"/>
      <c r="T120" s="133"/>
      <c r="U120" s="133"/>
      <c r="V120" s="133"/>
    </row>
    <row r="121" spans="1:22" x14ac:dyDescent="0.2">
      <c r="A121" s="888"/>
      <c r="B121" s="889"/>
      <c r="C121" s="889"/>
      <c r="D121" s="745" t="s">
        <v>202</v>
      </c>
      <c r="E121" s="390"/>
      <c r="F121" s="390"/>
      <c r="G121" s="745" t="s">
        <v>205</v>
      </c>
      <c r="H121" s="390"/>
      <c r="I121" s="745" t="s">
        <v>202</v>
      </c>
      <c r="J121" s="390"/>
      <c r="K121" s="390"/>
      <c r="L121" s="745" t="s">
        <v>205</v>
      </c>
      <c r="M121" s="894"/>
      <c r="N121" s="133"/>
      <c r="O121" s="133"/>
      <c r="P121" s="133"/>
      <c r="Q121" s="133"/>
      <c r="R121" s="133"/>
      <c r="S121" s="133"/>
      <c r="T121" s="133"/>
      <c r="U121" s="133"/>
      <c r="V121" s="133"/>
    </row>
    <row r="122" spans="1:22" x14ac:dyDescent="0.2">
      <c r="A122" s="628" t="s">
        <v>71</v>
      </c>
      <c r="B122" s="315"/>
      <c r="C122" s="202" t="s">
        <v>70</v>
      </c>
      <c r="D122" s="390"/>
      <c r="E122" s="390"/>
      <c r="F122" s="390"/>
      <c r="G122" s="390"/>
      <c r="H122" s="390"/>
      <c r="I122" s="390"/>
      <c r="J122" s="390"/>
      <c r="K122" s="390"/>
      <c r="L122" s="390"/>
      <c r="M122" s="894"/>
      <c r="N122" s="133"/>
      <c r="O122" s="133"/>
      <c r="P122" s="133"/>
      <c r="Q122" s="133"/>
      <c r="R122" s="133"/>
      <c r="S122" s="133"/>
      <c r="T122" s="133"/>
      <c r="U122" s="133"/>
      <c r="V122" s="133"/>
    </row>
    <row r="123" spans="1:22" ht="14.25" x14ac:dyDescent="0.25">
      <c r="A123" s="815"/>
      <c r="B123" s="333"/>
      <c r="C123" s="333"/>
      <c r="D123" s="885" t="s">
        <v>203</v>
      </c>
      <c r="E123" s="486"/>
      <c r="F123" s="120" t="s">
        <v>204</v>
      </c>
      <c r="G123" s="893" t="s">
        <v>206</v>
      </c>
      <c r="H123" s="315"/>
      <c r="I123" s="885" t="s">
        <v>203</v>
      </c>
      <c r="J123" s="486"/>
      <c r="K123" s="120" t="s">
        <v>204</v>
      </c>
      <c r="L123" s="893" t="s">
        <v>206</v>
      </c>
      <c r="M123" s="338"/>
      <c r="N123" s="133"/>
      <c r="O123" s="133"/>
      <c r="P123" s="133"/>
      <c r="Q123" s="133"/>
      <c r="R123" s="133"/>
      <c r="S123" s="133"/>
      <c r="T123" s="133"/>
      <c r="U123" s="133"/>
      <c r="V123" s="133"/>
    </row>
    <row r="124" spans="1:22" x14ac:dyDescent="0.2">
      <c r="A124" s="628" t="s">
        <v>167</v>
      </c>
      <c r="B124" s="315"/>
      <c r="C124" s="315"/>
      <c r="D124" s="881">
        <v>0.42399999999999999</v>
      </c>
      <c r="E124" s="881"/>
      <c r="F124" s="4">
        <v>0.57599999999999996</v>
      </c>
      <c r="G124" s="320">
        <v>0.316</v>
      </c>
      <c r="H124" s="320"/>
      <c r="I124" s="821">
        <v>0.1</v>
      </c>
      <c r="J124" s="821"/>
      <c r="K124" s="203">
        <v>0.15</v>
      </c>
      <c r="L124" s="821">
        <v>0.9</v>
      </c>
      <c r="M124" s="794"/>
      <c r="N124" s="133"/>
      <c r="O124" s="133"/>
      <c r="P124" s="133"/>
      <c r="Q124" s="133"/>
      <c r="R124" s="133"/>
      <c r="S124" s="133"/>
      <c r="T124" s="133"/>
      <c r="U124" s="133"/>
      <c r="V124" s="133"/>
    </row>
    <row r="125" spans="1:22" x14ac:dyDescent="0.2">
      <c r="A125" s="628" t="s">
        <v>166</v>
      </c>
      <c r="B125" s="315"/>
      <c r="C125" s="315"/>
      <c r="D125" s="881">
        <v>0.42899999999999999</v>
      </c>
      <c r="E125" s="881"/>
      <c r="F125" s="4">
        <v>0.57099999999999995</v>
      </c>
      <c r="G125" s="320">
        <v>0.30399999999999999</v>
      </c>
      <c r="H125" s="320"/>
      <c r="I125" s="821">
        <v>0.2</v>
      </c>
      <c r="J125" s="821"/>
      <c r="K125" s="203">
        <v>0.25</v>
      </c>
      <c r="L125" s="821">
        <v>0.8</v>
      </c>
      <c r="M125" s="794"/>
      <c r="N125" s="133"/>
      <c r="O125" s="133"/>
      <c r="P125" s="133"/>
      <c r="Q125" s="133"/>
      <c r="R125" s="133"/>
      <c r="S125" s="133"/>
      <c r="T125" s="133"/>
      <c r="U125" s="133"/>
      <c r="V125" s="133"/>
    </row>
    <row r="126" spans="1:22" x14ac:dyDescent="0.2">
      <c r="A126" s="628" t="s">
        <v>104</v>
      </c>
      <c r="B126" s="315"/>
      <c r="C126" s="315"/>
      <c r="D126" s="315">
        <v>0.51700000000000002</v>
      </c>
      <c r="E126" s="315"/>
      <c r="F126" s="97">
        <v>0.48299999999999998</v>
      </c>
      <c r="G126" s="524">
        <v>0.36499999999999999</v>
      </c>
      <c r="H126" s="524"/>
      <c r="I126" s="821">
        <v>0.3</v>
      </c>
      <c r="J126" s="821"/>
      <c r="K126" s="203">
        <v>0.35</v>
      </c>
      <c r="L126" s="821">
        <v>0.7</v>
      </c>
      <c r="M126" s="794"/>
    </row>
    <row r="127" spans="1:22" x14ac:dyDescent="0.2">
      <c r="A127" s="628" t="s">
        <v>107</v>
      </c>
      <c r="B127" s="315"/>
      <c r="C127" s="315"/>
      <c r="D127" s="315">
        <v>0.36399999999999999</v>
      </c>
      <c r="E127" s="315"/>
      <c r="F127" s="97">
        <v>0.63600000000000001</v>
      </c>
      <c r="G127" s="524">
        <v>0.41</v>
      </c>
      <c r="H127" s="524"/>
      <c r="I127" s="821">
        <v>0.4</v>
      </c>
      <c r="J127" s="821"/>
      <c r="K127" s="203">
        <v>0.45</v>
      </c>
      <c r="L127" s="821">
        <v>0.6</v>
      </c>
      <c r="M127" s="794"/>
    </row>
    <row r="128" spans="1:22" ht="13.5" thickBot="1" x14ac:dyDescent="0.25">
      <c r="A128" s="880" t="s">
        <v>181</v>
      </c>
      <c r="B128" s="562"/>
      <c r="C128" s="562"/>
      <c r="D128" s="562">
        <v>0.432</v>
      </c>
      <c r="E128" s="562"/>
      <c r="F128" s="99">
        <v>0.56799999999999995</v>
      </c>
      <c r="G128" s="553">
        <v>0.27400000000000002</v>
      </c>
      <c r="H128" s="553"/>
      <c r="I128" s="879">
        <v>0.5</v>
      </c>
      <c r="J128" s="879"/>
      <c r="K128" s="204">
        <v>0.55000000000000004</v>
      </c>
      <c r="L128" s="879">
        <v>0.5</v>
      </c>
      <c r="M128" s="797"/>
    </row>
  </sheetData>
  <mergeCells count="266">
    <mergeCell ref="N15:O15"/>
    <mergeCell ref="N17:O17"/>
    <mergeCell ref="N22:T23"/>
    <mergeCell ref="N19:O19"/>
    <mergeCell ref="N21:O21"/>
    <mergeCell ref="K65:L65"/>
    <mergeCell ref="A59:B59"/>
    <mergeCell ref="A60:B60"/>
    <mergeCell ref="E57:F57"/>
    <mergeCell ref="A41:B43"/>
    <mergeCell ref="K42:L42"/>
    <mergeCell ref="A19:D19"/>
    <mergeCell ref="A46:B46"/>
    <mergeCell ref="A47:B47"/>
    <mergeCell ref="A32:B33"/>
    <mergeCell ref="C32:D32"/>
    <mergeCell ref="A35:B35"/>
    <mergeCell ref="A36:B36"/>
    <mergeCell ref="N16:T16"/>
    <mergeCell ref="N18:T18"/>
    <mergeCell ref="N20:T20"/>
    <mergeCell ref="A64:B66"/>
    <mergeCell ref="C64:L64"/>
    <mergeCell ref="C65:D65"/>
    <mergeCell ref="E65:F65"/>
    <mergeCell ref="G65:H65"/>
    <mergeCell ref="I65:J65"/>
    <mergeCell ref="A38:B38"/>
    <mergeCell ref="A39:B39"/>
    <mergeCell ref="A37:B37"/>
    <mergeCell ref="G2:J3"/>
    <mergeCell ref="G4:G6"/>
    <mergeCell ref="J4:J6"/>
    <mergeCell ref="G19:J19"/>
    <mergeCell ref="A45:B45"/>
    <mergeCell ref="C31:L31"/>
    <mergeCell ref="E32:F32"/>
    <mergeCell ref="A61:B61"/>
    <mergeCell ref="G57:H57"/>
    <mergeCell ref="I57:J57"/>
    <mergeCell ref="K57:L57"/>
    <mergeCell ref="A53:L54"/>
    <mergeCell ref="A55:A56"/>
    <mergeCell ref="B55:B56"/>
    <mergeCell ref="C55:L55"/>
    <mergeCell ref="C56:L56"/>
    <mergeCell ref="A57:B58"/>
    <mergeCell ref="C57:D57"/>
    <mergeCell ref="K32:L32"/>
    <mergeCell ref="A30:A31"/>
    <mergeCell ref="B30:B31"/>
    <mergeCell ref="C30:L30"/>
    <mergeCell ref="G32:H32"/>
    <mergeCell ref="I32:J32"/>
    <mergeCell ref="L121:M122"/>
    <mergeCell ref="L123:M123"/>
    <mergeCell ref="A78:B78"/>
    <mergeCell ref="A79:B79"/>
    <mergeCell ref="E42:F42"/>
    <mergeCell ref="C41:L41"/>
    <mergeCell ref="C42:D42"/>
    <mergeCell ref="D114:E114"/>
    <mergeCell ref="F114:G114"/>
    <mergeCell ref="A106:C107"/>
    <mergeCell ref="D107:E109"/>
    <mergeCell ref="F113:G113"/>
    <mergeCell ref="A68:B68"/>
    <mergeCell ref="A69:B69"/>
    <mergeCell ref="A70:B70"/>
    <mergeCell ref="F111:G111"/>
    <mergeCell ref="A104:G105"/>
    <mergeCell ref="A110:C110"/>
    <mergeCell ref="D106:E106"/>
    <mergeCell ref="A108:B108"/>
    <mergeCell ref="F110:G110"/>
    <mergeCell ref="D111:E111"/>
    <mergeCell ref="A109:C109"/>
    <mergeCell ref="A114:C114"/>
    <mergeCell ref="D128:E128"/>
    <mergeCell ref="I127:J127"/>
    <mergeCell ref="I126:J126"/>
    <mergeCell ref="A44:B44"/>
    <mergeCell ref="A127:C127"/>
    <mergeCell ref="A128:C128"/>
    <mergeCell ref="D124:E124"/>
    <mergeCell ref="D125:E125"/>
    <mergeCell ref="A48:B48"/>
    <mergeCell ref="A49:B49"/>
    <mergeCell ref="D126:E126"/>
    <mergeCell ref="D127:E127"/>
    <mergeCell ref="I121:K122"/>
    <mergeCell ref="I123:J123"/>
    <mergeCell ref="A120:C121"/>
    <mergeCell ref="A122:B122"/>
    <mergeCell ref="D123:E123"/>
    <mergeCell ref="D121:F122"/>
    <mergeCell ref="I120:M120"/>
    <mergeCell ref="G121:H122"/>
    <mergeCell ref="G123:H123"/>
    <mergeCell ref="D120:H120"/>
    <mergeCell ref="A112:C112"/>
    <mergeCell ref="D112:E112"/>
    <mergeCell ref="L128:M128"/>
    <mergeCell ref="G124:H124"/>
    <mergeCell ref="G125:H125"/>
    <mergeCell ref="I124:J124"/>
    <mergeCell ref="I125:J125"/>
    <mergeCell ref="I128:J128"/>
    <mergeCell ref="G127:H127"/>
    <mergeCell ref="G128:H128"/>
    <mergeCell ref="G126:H126"/>
    <mergeCell ref="L127:M127"/>
    <mergeCell ref="L124:M124"/>
    <mergeCell ref="L125:M125"/>
    <mergeCell ref="L126:M126"/>
    <mergeCell ref="Y20:Z20"/>
    <mergeCell ref="W21:X21"/>
    <mergeCell ref="AA6:AA8"/>
    <mergeCell ref="Z5:AA5"/>
    <mergeCell ref="Y21:Z21"/>
    <mergeCell ref="Z6:Z8"/>
    <mergeCell ref="W18:Z19"/>
    <mergeCell ref="A2:D3"/>
    <mergeCell ref="D4:D6"/>
    <mergeCell ref="A4:A6"/>
    <mergeCell ref="W2:AA3"/>
    <mergeCell ref="G7:J7"/>
    <mergeCell ref="N2:T3"/>
    <mergeCell ref="N6:T6"/>
    <mergeCell ref="A7:D7"/>
    <mergeCell ref="X4:AA4"/>
    <mergeCell ref="W4:W8"/>
    <mergeCell ref="Y6:Y8"/>
    <mergeCell ref="X6:X8"/>
    <mergeCell ref="X5:Y5"/>
    <mergeCell ref="N4:O5"/>
    <mergeCell ref="P4:T4"/>
    <mergeCell ref="N10:O10"/>
    <mergeCell ref="N11:O11"/>
    <mergeCell ref="G13:J13"/>
    <mergeCell ref="N9:O9"/>
    <mergeCell ref="N7:O7"/>
    <mergeCell ref="N8:O8"/>
    <mergeCell ref="W45:X45"/>
    <mergeCell ref="W46:X46"/>
    <mergeCell ref="F106:G106"/>
    <mergeCell ref="N14:T14"/>
    <mergeCell ref="A13:D13"/>
    <mergeCell ref="N12:O12"/>
    <mergeCell ref="N13:O13"/>
    <mergeCell ref="W20:X20"/>
    <mergeCell ref="G42:H42"/>
    <mergeCell ref="I42:J42"/>
    <mergeCell ref="W36:Y39"/>
    <mergeCell ref="W40:X40"/>
    <mergeCell ref="W41:X41"/>
    <mergeCell ref="W42:X42"/>
    <mergeCell ref="W43:X43"/>
    <mergeCell ref="W44:X44"/>
    <mergeCell ref="W27:X27"/>
    <mergeCell ref="Y25:Z25"/>
    <mergeCell ref="A28:L29"/>
    <mergeCell ref="Y28:Z28"/>
    <mergeCell ref="Y26:Z26"/>
    <mergeCell ref="Y27:Z27"/>
    <mergeCell ref="W25:X25"/>
    <mergeCell ref="W26:X26"/>
    <mergeCell ref="W28:X28"/>
    <mergeCell ref="W29:Z30"/>
    <mergeCell ref="Y22:Z22"/>
    <mergeCell ref="Y23:Z23"/>
    <mergeCell ref="Y24:Z24"/>
    <mergeCell ref="W24:X24"/>
    <mergeCell ref="W22:X22"/>
    <mergeCell ref="W23:X23"/>
    <mergeCell ref="W47:X47"/>
    <mergeCell ref="W48:X48"/>
    <mergeCell ref="W49:X49"/>
    <mergeCell ref="W50:X50"/>
    <mergeCell ref="W51:X51"/>
    <mergeCell ref="F107:G109"/>
    <mergeCell ref="G94:H94"/>
    <mergeCell ref="I94:J94"/>
    <mergeCell ref="E83:F83"/>
    <mergeCell ref="I82:J82"/>
    <mergeCell ref="A99:J100"/>
    <mergeCell ref="A98:B98"/>
    <mergeCell ref="C98:D98"/>
    <mergeCell ref="E98:F98"/>
    <mergeCell ref="G98:H98"/>
    <mergeCell ref="I98:J98"/>
    <mergeCell ref="C97:D97"/>
    <mergeCell ref="E97:F97"/>
    <mergeCell ref="A67:B67"/>
    <mergeCell ref="W31:Z32"/>
    <mergeCell ref="G78:H78"/>
    <mergeCell ref="G77:J77"/>
    <mergeCell ref="I78:J78"/>
    <mergeCell ref="E80:F80"/>
    <mergeCell ref="G92:J92"/>
    <mergeCell ref="C94:D94"/>
    <mergeCell ref="A126:C126"/>
    <mergeCell ref="A34:B34"/>
    <mergeCell ref="A76:A77"/>
    <mergeCell ref="B76:B77"/>
    <mergeCell ref="C77:F77"/>
    <mergeCell ref="E78:F78"/>
    <mergeCell ref="C76:J76"/>
    <mergeCell ref="F112:G112"/>
    <mergeCell ref="D113:E113"/>
    <mergeCell ref="I81:J81"/>
    <mergeCell ref="C79:D79"/>
    <mergeCell ref="C80:D80"/>
    <mergeCell ref="C81:D81"/>
    <mergeCell ref="G79:H79"/>
    <mergeCell ref="A111:C111"/>
    <mergeCell ref="A124:C124"/>
    <mergeCell ref="A125:C125"/>
    <mergeCell ref="A113:C113"/>
    <mergeCell ref="D110:E110"/>
    <mergeCell ref="A118:M119"/>
    <mergeCell ref="A123:C123"/>
    <mergeCell ref="A80:B80"/>
    <mergeCell ref="A81:B81"/>
    <mergeCell ref="E79:F79"/>
    <mergeCell ref="E81:F81"/>
    <mergeCell ref="A74:J75"/>
    <mergeCell ref="I79:J79"/>
    <mergeCell ref="G80:H80"/>
    <mergeCell ref="G81:H81"/>
    <mergeCell ref="I80:J80"/>
    <mergeCell ref="C78:D78"/>
    <mergeCell ref="C83:D83"/>
    <mergeCell ref="G82:H82"/>
    <mergeCell ref="A82:B82"/>
    <mergeCell ref="C82:D82"/>
    <mergeCell ref="A89:J90"/>
    <mergeCell ref="E82:F82"/>
    <mergeCell ref="A93:B93"/>
    <mergeCell ref="C93:D93"/>
    <mergeCell ref="E93:F93"/>
    <mergeCell ref="G93:H93"/>
    <mergeCell ref="B91:B92"/>
    <mergeCell ref="C91:J91"/>
    <mergeCell ref="C92:F92"/>
    <mergeCell ref="E94:F94"/>
    <mergeCell ref="G97:H97"/>
    <mergeCell ref="I97:J97"/>
    <mergeCell ref="I83:J83"/>
    <mergeCell ref="A83:B83"/>
    <mergeCell ref="G83:H83"/>
    <mergeCell ref="A91:A92"/>
    <mergeCell ref="G96:H96"/>
    <mergeCell ref="I96:J96"/>
    <mergeCell ref="A84:J85"/>
    <mergeCell ref="I93:J93"/>
    <mergeCell ref="A94:B94"/>
    <mergeCell ref="A95:B95"/>
    <mergeCell ref="C95:D95"/>
    <mergeCell ref="E95:F95"/>
    <mergeCell ref="G95:H95"/>
    <mergeCell ref="I95:J95"/>
    <mergeCell ref="C96:D96"/>
    <mergeCell ref="E96:F96"/>
    <mergeCell ref="A96:B96"/>
    <mergeCell ref="A97:B97"/>
  </mergeCells>
  <dataValidations count="1">
    <dataValidation type="list" allowBlank="1" showInputMessage="1" showErrorMessage="1" sqref="C122 B91 B55 B30 B76 C108"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E87"/>
  <sheetViews>
    <sheetView topLeftCell="A16" workbookViewId="0"/>
  </sheetViews>
  <sheetFormatPr defaultRowHeight="12.75" x14ac:dyDescent="0.2"/>
  <cols>
    <col min="1" max="5" width="13.7109375" customWidth="1"/>
    <col min="6" max="6" width="14.42578125" customWidth="1"/>
    <col min="7" max="12" width="13.7109375" customWidth="1"/>
    <col min="13" max="13" width="14.5703125" customWidth="1"/>
    <col min="14" max="33" width="13.7109375" customWidth="1"/>
  </cols>
  <sheetData>
    <row r="1" spans="2:31" x14ac:dyDescent="0.2">
      <c r="B1" s="93" t="s">
        <v>447</v>
      </c>
      <c r="Y1" s="93" t="s">
        <v>470</v>
      </c>
    </row>
    <row r="2" spans="2:31" ht="13.5" thickBot="1" x14ac:dyDescent="0.25"/>
    <row r="3" spans="2:31" ht="13.5" thickTop="1" x14ac:dyDescent="0.2">
      <c r="B3" s="813" t="s">
        <v>567</v>
      </c>
      <c r="C3" s="813"/>
      <c r="D3" s="813"/>
      <c r="E3" s="813"/>
      <c r="F3" s="813"/>
      <c r="I3" s="813" t="s">
        <v>570</v>
      </c>
      <c r="J3" s="813"/>
      <c r="K3" s="813"/>
      <c r="L3" s="813"/>
      <c r="M3" s="813"/>
      <c r="P3" s="813" t="s">
        <v>573</v>
      </c>
      <c r="Q3" s="813"/>
      <c r="R3" s="813"/>
      <c r="S3" s="813"/>
      <c r="T3" s="813"/>
      <c r="U3" s="813"/>
      <c r="V3" s="813"/>
      <c r="Y3" s="867" t="s">
        <v>579</v>
      </c>
      <c r="Z3" s="710"/>
      <c r="AA3" s="710"/>
      <c r="AB3" s="710"/>
      <c r="AC3" s="710"/>
      <c r="AD3" s="850"/>
      <c r="AE3" s="850"/>
    </row>
    <row r="4" spans="2:31" ht="13.5" thickBot="1" x14ac:dyDescent="0.25">
      <c r="B4" s="814"/>
      <c r="C4" s="814"/>
      <c r="D4" s="814"/>
      <c r="E4" s="814"/>
      <c r="F4" s="814"/>
      <c r="I4" s="814"/>
      <c r="J4" s="814"/>
      <c r="K4" s="814"/>
      <c r="L4" s="814"/>
      <c r="M4" s="814"/>
      <c r="P4" s="814"/>
      <c r="Q4" s="814"/>
      <c r="R4" s="814"/>
      <c r="S4" s="814"/>
      <c r="T4" s="814"/>
      <c r="U4" s="814"/>
      <c r="V4" s="814"/>
      <c r="Y4" s="711"/>
      <c r="Z4" s="711"/>
      <c r="AA4" s="711"/>
      <c r="AB4" s="711"/>
      <c r="AC4" s="711"/>
      <c r="AD4" s="852"/>
      <c r="AE4" s="852"/>
    </row>
    <row r="5" spans="2:31" x14ac:dyDescent="0.2">
      <c r="B5" s="864" t="s">
        <v>449</v>
      </c>
      <c r="C5" s="141" t="s">
        <v>452</v>
      </c>
      <c r="D5" s="141"/>
      <c r="E5" s="141"/>
      <c r="F5" s="861" t="s">
        <v>224</v>
      </c>
      <c r="I5" s="864" t="s">
        <v>449</v>
      </c>
      <c r="J5" s="141" t="s">
        <v>454</v>
      </c>
      <c r="K5" s="141"/>
      <c r="L5" s="141"/>
      <c r="M5" s="861" t="s">
        <v>224</v>
      </c>
      <c r="P5" s="864" t="s">
        <v>449</v>
      </c>
      <c r="Q5" s="141" t="s">
        <v>458</v>
      </c>
      <c r="R5" s="141"/>
      <c r="S5" s="141"/>
      <c r="T5" s="141"/>
      <c r="U5" s="141"/>
      <c r="V5" s="861" t="s">
        <v>224</v>
      </c>
      <c r="Y5" s="923" t="s">
        <v>468</v>
      </c>
      <c r="Z5" s="924" t="s">
        <v>471</v>
      </c>
      <c r="AA5" s="925"/>
      <c r="AB5" s="293" t="s">
        <v>481</v>
      </c>
      <c r="AC5" s="920"/>
      <c r="AD5" s="920"/>
      <c r="AE5" s="920"/>
    </row>
    <row r="6" spans="2:31" ht="14.25" x14ac:dyDescent="0.25">
      <c r="B6" s="865"/>
      <c r="C6" s="143" t="s">
        <v>228</v>
      </c>
      <c r="D6" s="142" t="s">
        <v>450</v>
      </c>
      <c r="E6" s="142" t="s">
        <v>451</v>
      </c>
      <c r="F6" s="862"/>
      <c r="I6" s="865"/>
      <c r="J6" s="143" t="s">
        <v>228</v>
      </c>
      <c r="K6" s="142" t="s">
        <v>450</v>
      </c>
      <c r="L6" s="142" t="s">
        <v>451</v>
      </c>
      <c r="M6" s="862"/>
      <c r="P6" s="865"/>
      <c r="Q6" s="143" t="s">
        <v>228</v>
      </c>
      <c r="R6" s="142" t="s">
        <v>459</v>
      </c>
      <c r="S6" s="142" t="s">
        <v>460</v>
      </c>
      <c r="T6" s="142" t="s">
        <v>462</v>
      </c>
      <c r="U6" s="142" t="s">
        <v>464</v>
      </c>
      <c r="V6" s="862"/>
      <c r="Y6" s="386"/>
      <c r="Z6" s="534"/>
      <c r="AA6" s="925"/>
      <c r="AB6" s="295"/>
      <c r="AC6" s="296"/>
      <c r="AD6" s="296"/>
      <c r="AE6" s="296"/>
    </row>
    <row r="7" spans="2:31" x14ac:dyDescent="0.2">
      <c r="B7" s="866"/>
      <c r="C7" s="144" t="s">
        <v>226</v>
      </c>
      <c r="D7" s="95" t="s">
        <v>227</v>
      </c>
      <c r="E7" s="95" t="s">
        <v>448</v>
      </c>
      <c r="F7" s="863"/>
      <c r="I7" s="866"/>
      <c r="J7" s="144" t="s">
        <v>226</v>
      </c>
      <c r="K7" s="95" t="s">
        <v>227</v>
      </c>
      <c r="L7" s="95" t="s">
        <v>448</v>
      </c>
      <c r="M7" s="863"/>
      <c r="P7" s="866"/>
      <c r="Q7" s="144" t="s">
        <v>226</v>
      </c>
      <c r="R7" s="95" t="s">
        <v>227</v>
      </c>
      <c r="S7" s="95" t="s">
        <v>448</v>
      </c>
      <c r="T7" s="95" t="s">
        <v>461</v>
      </c>
      <c r="U7" s="95" t="s">
        <v>463</v>
      </c>
      <c r="V7" s="863"/>
      <c r="Y7" s="386"/>
      <c r="Z7" s="534"/>
      <c r="AA7" s="925"/>
      <c r="AB7" s="926" t="s">
        <v>478</v>
      </c>
      <c r="AC7" s="926" t="s">
        <v>477</v>
      </c>
      <c r="AD7" s="926" t="s">
        <v>479</v>
      </c>
      <c r="AE7" s="757" t="s">
        <v>480</v>
      </c>
    </row>
    <row r="8" spans="2:31" x14ac:dyDescent="0.2">
      <c r="B8" s="868" t="s">
        <v>230</v>
      </c>
      <c r="C8" s="657"/>
      <c r="D8" s="657"/>
      <c r="E8" s="657"/>
      <c r="F8" s="657"/>
      <c r="I8" s="868" t="s">
        <v>230</v>
      </c>
      <c r="J8" s="657"/>
      <c r="K8" s="657"/>
      <c r="L8" s="657"/>
      <c r="M8" s="657"/>
      <c r="P8" s="868" t="s">
        <v>230</v>
      </c>
      <c r="Q8" s="657"/>
      <c r="R8" s="657"/>
      <c r="S8" s="657"/>
      <c r="T8" s="657"/>
      <c r="U8" s="657"/>
      <c r="V8" s="657"/>
      <c r="Y8" s="388"/>
      <c r="Z8" s="536"/>
      <c r="AA8" s="660"/>
      <c r="AB8" s="927"/>
      <c r="AC8" s="927"/>
      <c r="AD8" s="927"/>
      <c r="AE8" s="919"/>
    </row>
    <row r="9" spans="2:31" ht="14.25" x14ac:dyDescent="0.2">
      <c r="B9" s="107" t="s">
        <v>75</v>
      </c>
      <c r="C9" s="56">
        <v>-13.36</v>
      </c>
      <c r="D9" s="56">
        <v>1.1100000000000001</v>
      </c>
      <c r="E9" s="56">
        <v>0.41</v>
      </c>
      <c r="F9" s="76">
        <v>0.8</v>
      </c>
      <c r="I9" s="107" t="s">
        <v>75</v>
      </c>
      <c r="J9" s="56">
        <v>-6.81</v>
      </c>
      <c r="K9" s="56">
        <v>0.16</v>
      </c>
      <c r="L9" s="56">
        <v>0.51</v>
      </c>
      <c r="M9" s="76">
        <v>1.1399999999999999</v>
      </c>
      <c r="P9" s="107" t="s">
        <v>453</v>
      </c>
      <c r="Q9" s="56">
        <v>-6.6</v>
      </c>
      <c r="R9" s="56">
        <v>0.05</v>
      </c>
      <c r="S9" s="56">
        <v>0.24</v>
      </c>
      <c r="T9" s="56">
        <v>0.41</v>
      </c>
      <c r="U9" s="56">
        <v>0.09</v>
      </c>
      <c r="V9" s="76">
        <v>0.52</v>
      </c>
      <c r="Y9" s="170" t="s">
        <v>75</v>
      </c>
      <c r="Z9" s="928" t="s">
        <v>472</v>
      </c>
      <c r="AA9" s="929"/>
      <c r="AB9" s="56">
        <v>0.67</v>
      </c>
      <c r="AC9" s="76">
        <v>0.45</v>
      </c>
      <c r="AD9" s="176" t="s">
        <v>14</v>
      </c>
      <c r="AE9" s="176" t="s">
        <v>14</v>
      </c>
    </row>
    <row r="10" spans="2:31" ht="13.5" thickBot="1" x14ac:dyDescent="0.25">
      <c r="B10" s="107" t="s">
        <v>453</v>
      </c>
      <c r="C10" s="56">
        <v>-12.13</v>
      </c>
      <c r="D10" s="56">
        <v>1.1100000000000001</v>
      </c>
      <c r="E10" s="56">
        <v>0.26</v>
      </c>
      <c r="F10" s="76">
        <v>0.33</v>
      </c>
      <c r="I10" s="107" t="s">
        <v>453</v>
      </c>
      <c r="J10" s="56">
        <v>-9.02</v>
      </c>
      <c r="K10" s="56">
        <v>0.42</v>
      </c>
      <c r="L10" s="56">
        <v>0.4</v>
      </c>
      <c r="M10" s="76">
        <v>0.36</v>
      </c>
      <c r="P10" s="111" t="s">
        <v>77</v>
      </c>
      <c r="Q10" s="14">
        <v>-9.5299999999999994</v>
      </c>
      <c r="R10" s="14">
        <v>0.4</v>
      </c>
      <c r="S10" s="14">
        <v>0.26</v>
      </c>
      <c r="T10" s="14">
        <v>0.45</v>
      </c>
      <c r="U10" s="14">
        <v>0.04</v>
      </c>
      <c r="V10" s="101">
        <v>0.24</v>
      </c>
      <c r="Y10" s="170" t="s">
        <v>453</v>
      </c>
      <c r="Z10" s="706" t="s">
        <v>473</v>
      </c>
      <c r="AA10" s="336"/>
      <c r="AB10" s="56">
        <v>0.93</v>
      </c>
      <c r="AC10" s="76">
        <v>0.86</v>
      </c>
      <c r="AD10" s="12">
        <v>0.8</v>
      </c>
      <c r="AE10" s="13">
        <v>0.8</v>
      </c>
    </row>
    <row r="11" spans="2:31" ht="14.25" x14ac:dyDescent="0.2">
      <c r="B11" s="145" t="s">
        <v>76</v>
      </c>
      <c r="C11" s="56">
        <v>-8.9</v>
      </c>
      <c r="D11" s="56">
        <v>0.82</v>
      </c>
      <c r="E11" s="56">
        <v>0.25</v>
      </c>
      <c r="F11" s="76">
        <v>0.4</v>
      </c>
      <c r="I11" s="145" t="s">
        <v>76</v>
      </c>
      <c r="J11" s="56">
        <v>-5.33</v>
      </c>
      <c r="K11" s="56">
        <v>0.33</v>
      </c>
      <c r="L11" s="56">
        <v>0.12</v>
      </c>
      <c r="M11" s="76">
        <v>0.65</v>
      </c>
      <c r="Y11" s="178" t="s">
        <v>76</v>
      </c>
      <c r="Z11" s="928" t="s">
        <v>474</v>
      </c>
      <c r="AA11" s="929"/>
      <c r="AB11" s="56">
        <v>0.73</v>
      </c>
      <c r="AC11" s="76">
        <v>0.53</v>
      </c>
      <c r="AD11" s="176" t="s">
        <v>14</v>
      </c>
      <c r="AE11" s="176" t="s">
        <v>14</v>
      </c>
    </row>
    <row r="12" spans="2:31" ht="13.5" thickBot="1" x14ac:dyDescent="0.25">
      <c r="B12" s="107" t="s">
        <v>77</v>
      </c>
      <c r="C12" s="56">
        <v>-10.99</v>
      </c>
      <c r="D12" s="56">
        <v>1.07</v>
      </c>
      <c r="E12" s="56">
        <v>0.23</v>
      </c>
      <c r="F12" s="76">
        <v>0.39</v>
      </c>
      <c r="I12" s="107" t="s">
        <v>77</v>
      </c>
      <c r="J12" s="56">
        <v>-10.210000000000001</v>
      </c>
      <c r="K12" s="56">
        <v>0.68</v>
      </c>
      <c r="L12" s="56">
        <v>0.27</v>
      </c>
      <c r="M12" s="76">
        <v>0.36</v>
      </c>
      <c r="Y12" s="179" t="s">
        <v>77</v>
      </c>
      <c r="Z12" s="930" t="s">
        <v>473</v>
      </c>
      <c r="AA12" s="734"/>
      <c r="AB12" s="14">
        <v>0.9</v>
      </c>
      <c r="AC12" s="101">
        <v>0.81</v>
      </c>
      <c r="AD12" s="167">
        <v>0.73</v>
      </c>
      <c r="AE12" s="166">
        <v>0.66</v>
      </c>
    </row>
    <row r="13" spans="2:31" x14ac:dyDescent="0.2">
      <c r="B13" s="806" t="s">
        <v>231</v>
      </c>
      <c r="C13" s="315"/>
      <c r="D13" s="315"/>
      <c r="E13" s="315"/>
      <c r="F13" s="338"/>
      <c r="I13" s="806" t="s">
        <v>231</v>
      </c>
      <c r="J13" s="315"/>
      <c r="K13" s="315"/>
      <c r="L13" s="315"/>
      <c r="M13" s="338"/>
      <c r="Y13" s="921" t="s">
        <v>475</v>
      </c>
      <c r="Z13" s="512"/>
      <c r="AA13" s="512"/>
      <c r="AB13" s="512"/>
      <c r="AC13" s="512"/>
      <c r="AD13" s="512"/>
      <c r="AE13" s="512"/>
    </row>
    <row r="14" spans="2:31" x14ac:dyDescent="0.2">
      <c r="B14" s="107" t="s">
        <v>75</v>
      </c>
      <c r="C14" s="56">
        <v>-14.01</v>
      </c>
      <c r="D14" s="56">
        <v>1.1599999999999999</v>
      </c>
      <c r="E14" s="56">
        <v>0.3</v>
      </c>
      <c r="F14" s="76">
        <v>0.69</v>
      </c>
      <c r="I14" s="107" t="s">
        <v>75</v>
      </c>
      <c r="J14" s="172" t="s">
        <v>14</v>
      </c>
      <c r="K14" s="172" t="s">
        <v>14</v>
      </c>
      <c r="L14" s="172" t="s">
        <v>14</v>
      </c>
      <c r="M14" s="173" t="s">
        <v>14</v>
      </c>
      <c r="Y14" s="922" t="s">
        <v>476</v>
      </c>
      <c r="Z14" s="419"/>
      <c r="AA14" s="419"/>
      <c r="AB14" s="419"/>
      <c r="AC14" s="419"/>
      <c r="AD14" s="419"/>
      <c r="AE14" s="419"/>
    </row>
    <row r="15" spans="2:31" x14ac:dyDescent="0.2">
      <c r="B15" s="107" t="s">
        <v>453</v>
      </c>
      <c r="C15" s="56">
        <v>-11.58</v>
      </c>
      <c r="D15" s="56">
        <v>1.02</v>
      </c>
      <c r="E15" s="56">
        <v>0.17</v>
      </c>
      <c r="F15" s="76">
        <v>0.3</v>
      </c>
      <c r="I15" s="107" t="s">
        <v>453</v>
      </c>
      <c r="J15" s="56">
        <v>-9.75</v>
      </c>
      <c r="K15" s="56">
        <v>0.27</v>
      </c>
      <c r="L15" s="56">
        <v>0.51</v>
      </c>
      <c r="M15" s="76">
        <v>0.24</v>
      </c>
    </row>
    <row r="16" spans="2:31" x14ac:dyDescent="0.2">
      <c r="B16" s="145" t="s">
        <v>76</v>
      </c>
      <c r="C16" s="56">
        <v>-11.13</v>
      </c>
      <c r="D16" s="56">
        <v>0.93</v>
      </c>
      <c r="E16" s="56">
        <v>0.28000000000000003</v>
      </c>
      <c r="F16" s="76">
        <v>0.48</v>
      </c>
      <c r="I16" s="145" t="s">
        <v>76</v>
      </c>
      <c r="J16" s="172" t="s">
        <v>14</v>
      </c>
      <c r="K16" s="172" t="s">
        <v>14</v>
      </c>
      <c r="L16" s="172" t="s">
        <v>14</v>
      </c>
      <c r="M16" s="173" t="s">
        <v>14</v>
      </c>
    </row>
    <row r="17" spans="2:31" ht="13.5" thickBot="1" x14ac:dyDescent="0.25">
      <c r="B17" s="107" t="s">
        <v>77</v>
      </c>
      <c r="C17" s="56">
        <v>-13.14</v>
      </c>
      <c r="D17" s="56">
        <v>1.18</v>
      </c>
      <c r="E17" s="56">
        <v>0.22</v>
      </c>
      <c r="F17" s="76">
        <v>0.33</v>
      </c>
      <c r="I17" s="107" t="s">
        <v>77</v>
      </c>
      <c r="J17" s="56">
        <v>-9.25</v>
      </c>
      <c r="K17" s="56">
        <v>0.43</v>
      </c>
      <c r="L17" s="56">
        <v>0.28999999999999998</v>
      </c>
      <c r="M17" s="76">
        <v>0.09</v>
      </c>
    </row>
    <row r="18" spans="2:31" ht="13.5" thickTop="1" x14ac:dyDescent="0.2">
      <c r="B18" s="806" t="s">
        <v>232</v>
      </c>
      <c r="C18" s="315"/>
      <c r="D18" s="315"/>
      <c r="E18" s="315"/>
      <c r="F18" s="338"/>
      <c r="I18" s="806" t="s">
        <v>232</v>
      </c>
      <c r="J18" s="315"/>
      <c r="K18" s="315"/>
      <c r="L18" s="315"/>
      <c r="M18" s="338"/>
      <c r="Y18" s="867" t="s">
        <v>580</v>
      </c>
      <c r="Z18" s="710"/>
      <c r="AA18" s="710"/>
      <c r="AB18" s="710"/>
      <c r="AC18" s="710"/>
      <c r="AD18" s="850"/>
      <c r="AE18" s="850"/>
    </row>
    <row r="19" spans="2:31" ht="13.5" thickBot="1" x14ac:dyDescent="0.25">
      <c r="B19" s="107" t="s">
        <v>75</v>
      </c>
      <c r="C19" s="56">
        <v>-15.38</v>
      </c>
      <c r="D19" s="56">
        <v>1.2</v>
      </c>
      <c r="E19" s="56">
        <v>0.51</v>
      </c>
      <c r="F19" s="76">
        <v>0.77</v>
      </c>
      <c r="I19" s="107" t="s">
        <v>75</v>
      </c>
      <c r="J19" s="56">
        <v>-8.36</v>
      </c>
      <c r="K19" s="56">
        <v>0.25</v>
      </c>
      <c r="L19" s="56">
        <v>0.55000000000000004</v>
      </c>
      <c r="M19" s="76">
        <v>1.29</v>
      </c>
      <c r="Y19" s="711"/>
      <c r="Z19" s="711"/>
      <c r="AA19" s="711"/>
      <c r="AB19" s="711"/>
      <c r="AC19" s="711"/>
      <c r="AD19" s="852"/>
      <c r="AE19" s="852"/>
    </row>
    <row r="20" spans="2:31" x14ac:dyDescent="0.2">
      <c r="B20" s="107" t="s">
        <v>453</v>
      </c>
      <c r="C20" s="56">
        <v>-13.24</v>
      </c>
      <c r="D20" s="56">
        <v>1.1399999999999999</v>
      </c>
      <c r="E20" s="56">
        <v>0.3</v>
      </c>
      <c r="F20" s="76">
        <v>0.36</v>
      </c>
      <c r="I20" s="107" t="s">
        <v>453</v>
      </c>
      <c r="J20" s="56">
        <v>-9.08</v>
      </c>
      <c r="K20" s="56">
        <v>0.45</v>
      </c>
      <c r="L20" s="56">
        <v>0.33</v>
      </c>
      <c r="M20" s="76">
        <v>0.53</v>
      </c>
      <c r="Y20" s="923" t="s">
        <v>468</v>
      </c>
      <c r="Z20" s="924" t="s">
        <v>471</v>
      </c>
      <c r="AA20" s="925"/>
      <c r="AB20" s="293" t="s">
        <v>482</v>
      </c>
      <c r="AC20" s="920"/>
      <c r="AD20" s="920"/>
      <c r="AE20" s="920"/>
    </row>
    <row r="21" spans="2:31" x14ac:dyDescent="0.2">
      <c r="B21" s="145" t="s">
        <v>76</v>
      </c>
      <c r="C21" s="56">
        <v>-8.74</v>
      </c>
      <c r="D21" s="56">
        <v>0.77</v>
      </c>
      <c r="E21" s="56">
        <v>0.23</v>
      </c>
      <c r="F21" s="76">
        <v>0.4</v>
      </c>
      <c r="I21" s="145" t="s">
        <v>76</v>
      </c>
      <c r="J21" s="56">
        <v>-7.04</v>
      </c>
      <c r="K21" s="56">
        <v>0.36</v>
      </c>
      <c r="L21" s="56">
        <v>0.25</v>
      </c>
      <c r="M21" s="76">
        <v>0.54</v>
      </c>
      <c r="Y21" s="386"/>
      <c r="Z21" s="534"/>
      <c r="AA21" s="925"/>
      <c r="AB21" s="295"/>
      <c r="AC21" s="296"/>
      <c r="AD21" s="296"/>
      <c r="AE21" s="296"/>
    </row>
    <row r="22" spans="2:31" ht="13.5" thickBot="1" x14ac:dyDescent="0.25">
      <c r="B22" s="111" t="s">
        <v>77</v>
      </c>
      <c r="C22" s="14">
        <v>-11.02</v>
      </c>
      <c r="D22" s="14">
        <v>1.02</v>
      </c>
      <c r="E22" s="14">
        <v>0.24</v>
      </c>
      <c r="F22" s="101">
        <v>0.44</v>
      </c>
      <c r="I22" s="111" t="s">
        <v>77</v>
      </c>
      <c r="J22" s="14">
        <v>-11.34</v>
      </c>
      <c r="K22" s="14">
        <v>0.78</v>
      </c>
      <c r="L22" s="14">
        <v>0.25</v>
      </c>
      <c r="M22" s="101">
        <v>0.44</v>
      </c>
      <c r="Y22" s="386"/>
      <c r="Z22" s="534"/>
      <c r="AA22" s="925"/>
      <c r="AB22" s="926" t="s">
        <v>478</v>
      </c>
      <c r="AC22" s="926" t="s">
        <v>477</v>
      </c>
      <c r="AD22" s="926" t="s">
        <v>479</v>
      </c>
      <c r="AE22" s="757" t="s">
        <v>480</v>
      </c>
    </row>
    <row r="23" spans="2:31" x14ac:dyDescent="0.2">
      <c r="B23" s="22"/>
      <c r="C23" s="22"/>
      <c r="D23" s="22"/>
      <c r="E23" s="22"/>
      <c r="F23" s="22"/>
      <c r="G23" s="22"/>
      <c r="I23" s="174" t="s">
        <v>455</v>
      </c>
      <c r="Y23" s="388"/>
      <c r="Z23" s="536"/>
      <c r="AA23" s="660"/>
      <c r="AB23" s="927"/>
      <c r="AC23" s="927"/>
      <c r="AD23" s="927"/>
      <c r="AE23" s="919"/>
    </row>
    <row r="24" spans="2:31" ht="14.25" x14ac:dyDescent="0.2">
      <c r="B24" s="39"/>
      <c r="C24" s="28"/>
      <c r="D24" s="28"/>
      <c r="E24" s="28"/>
      <c r="F24" s="28"/>
      <c r="G24" s="22"/>
      <c r="I24" s="940" t="s">
        <v>456</v>
      </c>
      <c r="J24" s="941"/>
      <c r="K24" s="941"/>
      <c r="L24" s="941"/>
      <c r="M24" s="941"/>
      <c r="Y24" s="170" t="s">
        <v>75</v>
      </c>
      <c r="Z24" s="928" t="s">
        <v>472</v>
      </c>
      <c r="AA24" s="929"/>
      <c r="AB24" s="56">
        <v>0.86</v>
      </c>
      <c r="AC24" s="76">
        <v>0.74</v>
      </c>
      <c r="AD24" s="175" t="s">
        <v>14</v>
      </c>
      <c r="AE24" s="176" t="s">
        <v>14</v>
      </c>
    </row>
    <row r="25" spans="2:31" ht="13.5" thickBot="1" x14ac:dyDescent="0.25">
      <c r="B25" s="22"/>
      <c r="C25" s="22"/>
      <c r="D25" s="22"/>
      <c r="E25" s="22"/>
      <c r="F25" s="22"/>
      <c r="G25" s="22"/>
      <c r="I25" s="939" t="s">
        <v>457</v>
      </c>
      <c r="J25" s="903"/>
      <c r="K25" s="903"/>
      <c r="L25" s="903"/>
      <c r="M25" s="903"/>
      <c r="Y25" s="170" t="s">
        <v>453</v>
      </c>
      <c r="Z25" s="706" t="s">
        <v>473</v>
      </c>
      <c r="AA25" s="336"/>
      <c r="AB25" s="56">
        <v>0.96</v>
      </c>
      <c r="AC25" s="76">
        <v>0.92</v>
      </c>
      <c r="AD25" s="175" t="s">
        <v>14</v>
      </c>
      <c r="AE25" s="176" t="s">
        <v>14</v>
      </c>
    </row>
    <row r="26" spans="2:31" ht="14.25" x14ac:dyDescent="0.2">
      <c r="Y26" s="178" t="s">
        <v>76</v>
      </c>
      <c r="Z26" s="928" t="s">
        <v>474</v>
      </c>
      <c r="AA26" s="929"/>
      <c r="AB26" s="56">
        <v>0.86</v>
      </c>
      <c r="AC26" s="76">
        <v>0.74</v>
      </c>
      <c r="AD26" s="175" t="s">
        <v>14</v>
      </c>
      <c r="AE26" s="176" t="s">
        <v>14</v>
      </c>
    </row>
    <row r="27" spans="2:31" ht="13.5" thickBot="1" x14ac:dyDescent="0.25">
      <c r="Y27" s="179" t="s">
        <v>77</v>
      </c>
      <c r="Z27" s="930" t="s">
        <v>473</v>
      </c>
      <c r="AA27" s="734"/>
      <c r="AB27" s="14">
        <v>0.96</v>
      </c>
      <c r="AC27" s="101">
        <v>0.92</v>
      </c>
      <c r="AD27" s="167">
        <v>0.88</v>
      </c>
      <c r="AE27" s="166">
        <v>0.85</v>
      </c>
    </row>
    <row r="28" spans="2:31" x14ac:dyDescent="0.2">
      <c r="Y28" s="921" t="s">
        <v>483</v>
      </c>
      <c r="Z28" s="512"/>
      <c r="AA28" s="512"/>
      <c r="AB28" s="512"/>
      <c r="AC28" s="512"/>
      <c r="AD28" s="512"/>
      <c r="AE28" s="512"/>
    </row>
    <row r="29" spans="2:31" x14ac:dyDescent="0.2">
      <c r="B29" s="93" t="s">
        <v>466</v>
      </c>
      <c r="Y29" s="922" t="s">
        <v>476</v>
      </c>
      <c r="Z29" s="419"/>
      <c r="AA29" s="419"/>
      <c r="AB29" s="419"/>
      <c r="AC29" s="419"/>
      <c r="AD29" s="419"/>
      <c r="AE29" s="419"/>
    </row>
    <row r="30" spans="2:31" ht="13.5" thickBot="1" x14ac:dyDescent="0.25">
      <c r="L30" s="22"/>
      <c r="M30" s="22"/>
    </row>
    <row r="31" spans="2:31" ht="13.5" thickTop="1" x14ac:dyDescent="0.2">
      <c r="B31" s="813" t="s">
        <v>569</v>
      </c>
      <c r="C31" s="850"/>
      <c r="D31" s="850"/>
      <c r="E31" s="850"/>
      <c r="F31" s="850"/>
      <c r="G31" s="850"/>
      <c r="H31" s="850"/>
      <c r="I31" s="850"/>
      <c r="J31" s="850"/>
      <c r="K31" s="850"/>
      <c r="L31" s="153"/>
      <c r="M31" s="15"/>
    </row>
    <row r="32" spans="2:31" ht="13.5" thickBot="1" x14ac:dyDescent="0.25">
      <c r="B32" s="852"/>
      <c r="C32" s="852"/>
      <c r="D32" s="852"/>
      <c r="E32" s="852"/>
      <c r="F32" s="852"/>
      <c r="G32" s="852"/>
      <c r="H32" s="852"/>
      <c r="I32" s="852"/>
      <c r="J32" s="852"/>
      <c r="K32" s="852"/>
      <c r="L32" s="153"/>
      <c r="M32" s="15"/>
    </row>
    <row r="33" spans="2:13" x14ac:dyDescent="0.2">
      <c r="B33" s="802" t="s">
        <v>71</v>
      </c>
      <c r="C33" s="789" t="s">
        <v>70</v>
      </c>
      <c r="D33" s="593" t="s">
        <v>465</v>
      </c>
      <c r="E33" s="841"/>
      <c r="F33" s="841"/>
      <c r="G33" s="841"/>
      <c r="H33" s="841"/>
      <c r="I33" s="841"/>
      <c r="J33" s="841"/>
      <c r="K33" s="841"/>
      <c r="L33" s="24"/>
      <c r="M33" s="24"/>
    </row>
    <row r="34" spans="2:13" x14ac:dyDescent="0.2">
      <c r="B34" s="727"/>
      <c r="C34" s="906"/>
      <c r="D34" s="431" t="s">
        <v>49</v>
      </c>
      <c r="E34" s="657"/>
      <c r="F34" s="657"/>
      <c r="G34" s="657"/>
      <c r="H34" s="657"/>
      <c r="I34" s="657"/>
      <c r="J34" s="657"/>
      <c r="K34" s="657"/>
      <c r="L34" s="24"/>
      <c r="M34" s="24"/>
    </row>
    <row r="35" spans="2:13" x14ac:dyDescent="0.2">
      <c r="B35" s="633" t="s">
        <v>51</v>
      </c>
      <c r="C35" s="343"/>
      <c r="D35" s="583" t="s">
        <v>75</v>
      </c>
      <c r="E35" s="582"/>
      <c r="F35" s="696" t="s">
        <v>453</v>
      </c>
      <c r="G35" s="563"/>
      <c r="H35" s="696" t="s">
        <v>76</v>
      </c>
      <c r="I35" s="563"/>
      <c r="J35" s="696" t="s">
        <v>77</v>
      </c>
      <c r="K35" s="431"/>
      <c r="L35" s="409"/>
      <c r="M35" s="409"/>
    </row>
    <row r="36" spans="2:13" x14ac:dyDescent="0.2">
      <c r="B36" s="347"/>
      <c r="C36" s="348"/>
      <c r="D36" s="108" t="s">
        <v>246</v>
      </c>
      <c r="E36" s="98" t="s">
        <v>97</v>
      </c>
      <c r="F36" s="108" t="s">
        <v>246</v>
      </c>
      <c r="G36" s="98" t="s">
        <v>97</v>
      </c>
      <c r="H36" s="108" t="s">
        <v>246</v>
      </c>
      <c r="I36" s="98" t="s">
        <v>97</v>
      </c>
      <c r="J36" s="108" t="s">
        <v>246</v>
      </c>
      <c r="K36" s="149" t="s">
        <v>97</v>
      </c>
      <c r="L36" s="136"/>
      <c r="M36" s="136"/>
    </row>
    <row r="37" spans="2:13" x14ac:dyDescent="0.2">
      <c r="B37" s="820" t="s">
        <v>42</v>
      </c>
      <c r="C37" s="435"/>
      <c r="D37" s="105">
        <v>0.42099999999999999</v>
      </c>
      <c r="E37" s="105">
        <v>0.44</v>
      </c>
      <c r="F37" s="105">
        <v>0.54900000000000004</v>
      </c>
      <c r="G37" s="105">
        <v>0.54600000000000004</v>
      </c>
      <c r="H37" s="105">
        <v>0.33800000000000002</v>
      </c>
      <c r="I37" s="105">
        <v>0.374</v>
      </c>
      <c r="J37" s="105">
        <v>0.45</v>
      </c>
      <c r="K37" s="106">
        <v>0.48299999999999998</v>
      </c>
      <c r="L37" s="156"/>
      <c r="M37" s="156"/>
    </row>
    <row r="38" spans="2:13" x14ac:dyDescent="0.2">
      <c r="B38" s="882" t="s">
        <v>41</v>
      </c>
      <c r="C38" s="435"/>
      <c r="D38" s="55">
        <v>4.4999999999999998E-2</v>
      </c>
      <c r="E38" s="55">
        <v>2.3E-2</v>
      </c>
      <c r="F38" s="55">
        <v>3.7999999999999999E-2</v>
      </c>
      <c r="G38" s="55">
        <v>0.02</v>
      </c>
      <c r="H38" s="55">
        <v>4.1000000000000002E-2</v>
      </c>
      <c r="I38" s="55">
        <v>0.03</v>
      </c>
      <c r="J38" s="55">
        <v>4.9000000000000002E-2</v>
      </c>
      <c r="K38" s="57">
        <v>0.03</v>
      </c>
      <c r="L38" s="34"/>
      <c r="M38" s="34"/>
    </row>
    <row r="39" spans="2:13" x14ac:dyDescent="0.2">
      <c r="B39" s="882" t="s">
        <v>40</v>
      </c>
      <c r="C39" s="435"/>
      <c r="D39" s="55">
        <v>0.34300000000000003</v>
      </c>
      <c r="E39" s="55">
        <v>0.26200000000000001</v>
      </c>
      <c r="F39" s="55">
        <v>0.28000000000000003</v>
      </c>
      <c r="G39" s="55">
        <v>0.20399999999999999</v>
      </c>
      <c r="H39" s="55">
        <v>0.44</v>
      </c>
      <c r="I39" s="55">
        <v>0.33500000000000002</v>
      </c>
      <c r="J39" s="55">
        <v>0.34699999999999998</v>
      </c>
      <c r="K39" s="57">
        <v>0.24399999999999999</v>
      </c>
      <c r="L39" s="34"/>
      <c r="M39" s="34"/>
    </row>
    <row r="40" spans="2:13" x14ac:dyDescent="0.2">
      <c r="B40" s="882" t="s">
        <v>95</v>
      </c>
      <c r="C40" s="435"/>
      <c r="D40" s="55">
        <v>0.126</v>
      </c>
      <c r="E40" s="55">
        <v>0.04</v>
      </c>
      <c r="F40" s="55">
        <v>7.5999999999999998E-2</v>
      </c>
      <c r="G40" s="55">
        <v>3.2000000000000001E-2</v>
      </c>
      <c r="H40" s="55">
        <v>0.121</v>
      </c>
      <c r="I40" s="55">
        <v>4.3999999999999997E-2</v>
      </c>
      <c r="J40" s="55">
        <v>9.9000000000000005E-2</v>
      </c>
      <c r="K40" s="57">
        <v>3.2000000000000001E-2</v>
      </c>
      <c r="L40" s="34"/>
      <c r="M40" s="34"/>
    </row>
    <row r="41" spans="2:13" x14ac:dyDescent="0.2">
      <c r="B41" s="882" t="s">
        <v>248</v>
      </c>
      <c r="C41" s="332"/>
      <c r="D41" s="55">
        <v>6.5000000000000002E-2</v>
      </c>
      <c r="E41" s="55">
        <v>0.23499999999999999</v>
      </c>
      <c r="F41" s="55">
        <v>5.7000000000000002E-2</v>
      </c>
      <c r="G41" s="55">
        <v>0.19800000000000001</v>
      </c>
      <c r="H41" s="55">
        <v>0.06</v>
      </c>
      <c r="I41" s="55">
        <v>0.217</v>
      </c>
      <c r="J41" s="55">
        <v>5.5E-2</v>
      </c>
      <c r="K41" s="57">
        <v>0.21099999999999999</v>
      </c>
      <c r="L41" s="34"/>
      <c r="M41" s="34"/>
    </row>
    <row r="42" spans="2:13" x14ac:dyDescent="0.2">
      <c r="B42" s="938" t="s">
        <v>247</v>
      </c>
      <c r="C42" s="421"/>
      <c r="D42" s="421"/>
      <c r="E42" s="421"/>
      <c r="F42" s="421"/>
      <c r="G42" s="421"/>
      <c r="H42" s="421"/>
      <c r="I42" s="421"/>
      <c r="J42" s="421"/>
      <c r="K42" s="421"/>
      <c r="L42" s="34"/>
      <c r="M42" s="34"/>
    </row>
    <row r="43" spans="2:13" x14ac:dyDescent="0.2">
      <c r="B43" s="633" t="s">
        <v>51</v>
      </c>
      <c r="C43" s="343"/>
      <c r="D43" s="696" t="s">
        <v>50</v>
      </c>
      <c r="E43" s="315"/>
      <c r="F43" s="315"/>
      <c r="G43" s="315"/>
      <c r="H43" s="315"/>
      <c r="I43" s="315"/>
      <c r="J43" s="315"/>
      <c r="K43" s="338"/>
      <c r="L43" s="10"/>
      <c r="M43" s="10"/>
    </row>
    <row r="44" spans="2:13" x14ac:dyDescent="0.2">
      <c r="B44" s="346"/>
      <c r="C44" s="345"/>
      <c r="D44" s="583" t="s">
        <v>75</v>
      </c>
      <c r="E44" s="582"/>
      <c r="F44" s="696" t="s">
        <v>453</v>
      </c>
      <c r="G44" s="563"/>
      <c r="H44" s="696" t="s">
        <v>76</v>
      </c>
      <c r="I44" s="563"/>
      <c r="J44" s="696" t="s">
        <v>77</v>
      </c>
      <c r="K44" s="431"/>
      <c r="L44" s="24"/>
      <c r="M44" s="24"/>
    </row>
    <row r="45" spans="2:13" x14ac:dyDescent="0.2">
      <c r="B45" s="394"/>
      <c r="C45" s="914"/>
      <c r="D45" s="108" t="s">
        <v>246</v>
      </c>
      <c r="E45" s="98" t="s">
        <v>97</v>
      </c>
      <c r="F45" s="108" t="s">
        <v>246</v>
      </c>
      <c r="G45" s="98" t="s">
        <v>97</v>
      </c>
      <c r="H45" s="108" t="s">
        <v>246</v>
      </c>
      <c r="I45" s="98" t="s">
        <v>97</v>
      </c>
      <c r="J45" s="108" t="s">
        <v>246</v>
      </c>
      <c r="K45" s="149" t="s">
        <v>97</v>
      </c>
      <c r="L45" s="409"/>
      <c r="M45" s="409"/>
    </row>
    <row r="46" spans="2:13" x14ac:dyDescent="0.2">
      <c r="B46" s="820" t="s">
        <v>42</v>
      </c>
      <c r="C46" s="435"/>
      <c r="D46" s="196">
        <v>0.5</v>
      </c>
      <c r="E46" s="196">
        <v>0.1</v>
      </c>
      <c r="F46" s="196"/>
      <c r="G46" s="196"/>
      <c r="H46" s="196">
        <v>0.75</v>
      </c>
      <c r="I46" s="196"/>
      <c r="J46" s="196"/>
      <c r="K46" s="197"/>
      <c r="L46" s="136"/>
      <c r="M46" s="136"/>
    </row>
    <row r="47" spans="2:13" x14ac:dyDescent="0.2">
      <c r="B47" s="882" t="s">
        <v>41</v>
      </c>
      <c r="C47" s="435"/>
      <c r="D47" s="196">
        <v>0.51</v>
      </c>
      <c r="E47" s="196">
        <v>0.11</v>
      </c>
      <c r="F47" s="196"/>
      <c r="G47" s="196"/>
      <c r="H47" s="196">
        <v>0.65</v>
      </c>
      <c r="I47" s="196"/>
      <c r="J47" s="196"/>
      <c r="K47" s="197"/>
    </row>
    <row r="48" spans="2:13" x14ac:dyDescent="0.2">
      <c r="B48" s="882" t="s">
        <v>40</v>
      </c>
      <c r="C48" s="435"/>
      <c r="D48" s="196">
        <v>0.52</v>
      </c>
      <c r="E48" s="196">
        <v>0.12</v>
      </c>
      <c r="F48" s="196"/>
      <c r="G48" s="196"/>
      <c r="H48" s="196">
        <v>0.55000000000000004</v>
      </c>
      <c r="I48" s="196"/>
      <c r="J48" s="196"/>
      <c r="K48" s="197"/>
    </row>
    <row r="49" spans="2:13" x14ac:dyDescent="0.2">
      <c r="B49" s="882" t="s">
        <v>95</v>
      </c>
      <c r="C49" s="435"/>
      <c r="D49" s="198">
        <v>0.53</v>
      </c>
      <c r="E49" s="198">
        <v>0.13</v>
      </c>
      <c r="F49" s="198"/>
      <c r="G49" s="198"/>
      <c r="H49" s="198">
        <v>0.45</v>
      </c>
      <c r="I49" s="198"/>
      <c r="J49" s="198"/>
      <c r="K49" s="199"/>
    </row>
    <row r="50" spans="2:13" ht="13.5" thickBot="1" x14ac:dyDescent="0.25">
      <c r="B50" s="883" t="s">
        <v>248</v>
      </c>
      <c r="C50" s="884"/>
      <c r="D50" s="200">
        <v>0.55000000000000004</v>
      </c>
      <c r="E50" s="200">
        <v>0.15</v>
      </c>
      <c r="F50" s="200"/>
      <c r="G50" s="200"/>
      <c r="H50" s="200">
        <v>0.25</v>
      </c>
      <c r="I50" s="200"/>
      <c r="J50" s="200"/>
      <c r="K50" s="201"/>
      <c r="L50" s="49"/>
      <c r="M50" s="49"/>
    </row>
    <row r="51" spans="2:13" x14ac:dyDescent="0.2">
      <c r="B51" s="206" t="s">
        <v>568</v>
      </c>
      <c r="L51" s="49"/>
      <c r="M51" s="49"/>
    </row>
    <row r="52" spans="2:13" x14ac:dyDescent="0.2">
      <c r="L52" s="49"/>
      <c r="M52" s="49"/>
    </row>
    <row r="53" spans="2:13" ht="13.5" thickBot="1" x14ac:dyDescent="0.25"/>
    <row r="54" spans="2:13" ht="13.5" thickTop="1" x14ac:dyDescent="0.2">
      <c r="B54" s="813" t="s">
        <v>572</v>
      </c>
      <c r="C54" s="850"/>
      <c r="D54" s="850"/>
      <c r="E54" s="850"/>
      <c r="F54" s="850"/>
      <c r="G54" s="850"/>
      <c r="H54" s="850"/>
      <c r="I54" s="850"/>
      <c r="J54" s="850"/>
      <c r="K54" s="850"/>
    </row>
    <row r="55" spans="2:13" ht="13.5" thickBot="1" x14ac:dyDescent="0.25">
      <c r="B55" s="852"/>
      <c r="C55" s="852"/>
      <c r="D55" s="852"/>
      <c r="E55" s="852"/>
      <c r="F55" s="852"/>
      <c r="G55" s="852"/>
      <c r="H55" s="852"/>
      <c r="I55" s="852"/>
      <c r="J55" s="852"/>
      <c r="K55" s="852"/>
    </row>
    <row r="56" spans="2:13" x14ac:dyDescent="0.2">
      <c r="B56" s="802" t="s">
        <v>71</v>
      </c>
      <c r="C56" s="789" t="s">
        <v>70</v>
      </c>
      <c r="D56" s="593" t="s">
        <v>465</v>
      </c>
      <c r="E56" s="841"/>
      <c r="F56" s="841"/>
      <c r="G56" s="841"/>
      <c r="H56" s="841"/>
      <c r="I56" s="841"/>
      <c r="J56" s="841"/>
      <c r="K56" s="841"/>
    </row>
    <row r="57" spans="2:13" x14ac:dyDescent="0.2">
      <c r="B57" s="727"/>
      <c r="C57" s="906"/>
      <c r="D57" s="431" t="s">
        <v>49</v>
      </c>
      <c r="E57" s="657"/>
      <c r="F57" s="657"/>
      <c r="G57" s="657"/>
      <c r="H57" s="657"/>
      <c r="I57" s="657"/>
      <c r="J57" s="657"/>
      <c r="K57" s="657"/>
    </row>
    <row r="58" spans="2:13" x14ac:dyDescent="0.2">
      <c r="B58" s="633" t="s">
        <v>51</v>
      </c>
      <c r="C58" s="343"/>
      <c r="D58" s="583" t="s">
        <v>75</v>
      </c>
      <c r="E58" s="582"/>
      <c r="F58" s="696" t="s">
        <v>453</v>
      </c>
      <c r="G58" s="563"/>
      <c r="H58" s="696" t="s">
        <v>76</v>
      </c>
      <c r="I58" s="563"/>
      <c r="J58" s="696" t="s">
        <v>77</v>
      </c>
      <c r="K58" s="431"/>
    </row>
    <row r="59" spans="2:13" x14ac:dyDescent="0.2">
      <c r="B59" s="347"/>
      <c r="C59" s="348"/>
      <c r="D59" s="108" t="s">
        <v>246</v>
      </c>
      <c r="E59" s="98" t="s">
        <v>97</v>
      </c>
      <c r="F59" s="108" t="s">
        <v>246</v>
      </c>
      <c r="G59" s="98" t="s">
        <v>97</v>
      </c>
      <c r="H59" s="108" t="s">
        <v>246</v>
      </c>
      <c r="I59" s="98" t="s">
        <v>97</v>
      </c>
      <c r="J59" s="108" t="s">
        <v>246</v>
      </c>
      <c r="K59" s="149" t="s">
        <v>97</v>
      </c>
    </row>
    <row r="60" spans="2:13" x14ac:dyDescent="0.2">
      <c r="B60" s="820" t="s">
        <v>396</v>
      </c>
      <c r="C60" s="435"/>
      <c r="D60" s="105">
        <v>1E-3</v>
      </c>
      <c r="E60" s="105">
        <v>3.0000000000000001E-3</v>
      </c>
      <c r="F60" s="105">
        <v>1E-3</v>
      </c>
      <c r="G60" s="105">
        <v>1E-3</v>
      </c>
      <c r="H60" s="105">
        <v>1E-3</v>
      </c>
      <c r="I60" s="105">
        <v>1E-3</v>
      </c>
      <c r="J60" s="105">
        <v>1E-3</v>
      </c>
      <c r="K60" s="106">
        <v>1E-3</v>
      </c>
    </row>
    <row r="61" spans="2:13" x14ac:dyDescent="0.2">
      <c r="B61" s="882" t="s">
        <v>257</v>
      </c>
      <c r="C61" s="435"/>
      <c r="D61" s="55">
        <v>3.0000000000000001E-3</v>
      </c>
      <c r="E61" s="55">
        <v>1.7999999999999999E-2</v>
      </c>
      <c r="F61" s="55">
        <v>1E-3</v>
      </c>
      <c r="G61" s="55">
        <v>3.0000000000000001E-3</v>
      </c>
      <c r="H61" s="55">
        <v>1E-3</v>
      </c>
      <c r="I61" s="55">
        <v>2.5999999999999999E-2</v>
      </c>
      <c r="J61" s="55">
        <v>2E-3</v>
      </c>
      <c r="K61" s="57">
        <v>2E-3</v>
      </c>
    </row>
    <row r="62" spans="2:13" x14ac:dyDescent="0.2">
      <c r="B62" s="882" t="s">
        <v>258</v>
      </c>
      <c r="C62" s="435"/>
      <c r="D62" s="55">
        <v>0.76200000000000001</v>
      </c>
      <c r="E62" s="55">
        <v>0.83409999999999995</v>
      </c>
      <c r="F62" s="55">
        <v>0.65300000000000002</v>
      </c>
      <c r="G62" s="55">
        <v>0.89500000000000002</v>
      </c>
      <c r="H62" s="55">
        <v>0.67900000000000005</v>
      </c>
      <c r="I62" s="55">
        <v>0.84699999999999998</v>
      </c>
      <c r="J62" s="55">
        <v>0.74399999999999999</v>
      </c>
      <c r="K62" s="57">
        <v>0.87</v>
      </c>
    </row>
    <row r="63" spans="2:13" x14ac:dyDescent="0.2">
      <c r="B63" s="882" t="s">
        <v>259</v>
      </c>
      <c r="C63" s="435"/>
      <c r="D63" s="55">
        <v>0.09</v>
      </c>
      <c r="E63" s="55">
        <v>9.1999999999999998E-2</v>
      </c>
      <c r="F63" s="55">
        <v>9.0999999999999998E-2</v>
      </c>
      <c r="G63" s="55">
        <v>6.9000000000000006E-2</v>
      </c>
      <c r="H63" s="55">
        <v>8.8999999999999996E-2</v>
      </c>
      <c r="I63" s="55">
        <v>7.0000000000000007E-2</v>
      </c>
      <c r="J63" s="55">
        <v>7.1999999999999995E-2</v>
      </c>
      <c r="K63" s="57">
        <v>7.0000000000000007E-2</v>
      </c>
    </row>
    <row r="64" spans="2:13" x14ac:dyDescent="0.2">
      <c r="B64" s="882" t="s">
        <v>260</v>
      </c>
      <c r="C64" s="435"/>
      <c r="D64" s="55">
        <v>3.9E-2</v>
      </c>
      <c r="E64" s="55">
        <v>2.3E-2</v>
      </c>
      <c r="F64" s="55">
        <v>4.4999999999999998E-2</v>
      </c>
      <c r="G64" s="55">
        <v>1.7999999999999999E-2</v>
      </c>
      <c r="H64" s="55">
        <v>5.0999999999999997E-2</v>
      </c>
      <c r="I64" s="55">
        <v>7.0000000000000001E-3</v>
      </c>
      <c r="J64" s="55">
        <v>0.04</v>
      </c>
      <c r="K64" s="57">
        <v>2.3E-2</v>
      </c>
    </row>
    <row r="65" spans="2:12" x14ac:dyDescent="0.2">
      <c r="B65" s="882" t="s">
        <v>467</v>
      </c>
      <c r="C65" s="332"/>
      <c r="D65" s="55">
        <v>0.105</v>
      </c>
      <c r="E65" s="55">
        <v>0.03</v>
      </c>
      <c r="F65" s="55">
        <v>0.20899999999999999</v>
      </c>
      <c r="G65" s="55">
        <v>1.4E-2</v>
      </c>
      <c r="H65" s="55">
        <v>0.17899999999999999</v>
      </c>
      <c r="I65" s="55">
        <v>4.9000000000000002E-2</v>
      </c>
      <c r="J65" s="55">
        <v>0.14099999999999999</v>
      </c>
      <c r="K65" s="57">
        <v>3.4000000000000002E-2</v>
      </c>
    </row>
    <row r="66" spans="2:12" x14ac:dyDescent="0.2">
      <c r="B66" s="938" t="s">
        <v>571</v>
      </c>
      <c r="C66" s="421"/>
      <c r="D66" s="421"/>
      <c r="E66" s="421"/>
      <c r="F66" s="421"/>
      <c r="G66" s="421"/>
      <c r="H66" s="421"/>
      <c r="I66" s="421"/>
      <c r="J66" s="421"/>
      <c r="K66" s="421"/>
    </row>
    <row r="67" spans="2:12" x14ac:dyDescent="0.2">
      <c r="B67" s="633" t="s">
        <v>51</v>
      </c>
      <c r="C67" s="343"/>
      <c r="D67" s="696" t="s">
        <v>50</v>
      </c>
      <c r="E67" s="315"/>
      <c r="F67" s="315"/>
      <c r="G67" s="315"/>
      <c r="H67" s="315"/>
      <c r="I67" s="315"/>
      <c r="J67" s="315"/>
      <c r="K67" s="338"/>
    </row>
    <row r="68" spans="2:12" x14ac:dyDescent="0.2">
      <c r="B68" s="346"/>
      <c r="C68" s="345"/>
      <c r="D68" s="583" t="s">
        <v>75</v>
      </c>
      <c r="E68" s="582"/>
      <c r="F68" s="696" t="s">
        <v>453</v>
      </c>
      <c r="G68" s="563"/>
      <c r="H68" s="696" t="s">
        <v>76</v>
      </c>
      <c r="I68" s="563"/>
      <c r="J68" s="696" t="s">
        <v>77</v>
      </c>
      <c r="K68" s="431"/>
    </row>
    <row r="69" spans="2:12" x14ac:dyDescent="0.2">
      <c r="B69" s="394"/>
      <c r="C69" s="914"/>
      <c r="D69" s="108" t="s">
        <v>246</v>
      </c>
      <c r="E69" s="98" t="s">
        <v>97</v>
      </c>
      <c r="F69" s="108" t="s">
        <v>246</v>
      </c>
      <c r="G69" s="98" t="s">
        <v>97</v>
      </c>
      <c r="H69" s="108" t="s">
        <v>246</v>
      </c>
      <c r="I69" s="98" t="s">
        <v>97</v>
      </c>
      <c r="J69" s="108" t="s">
        <v>246</v>
      </c>
      <c r="K69" s="149" t="s">
        <v>97</v>
      </c>
    </row>
    <row r="70" spans="2:12" x14ac:dyDescent="0.2">
      <c r="B70" s="820" t="s">
        <v>396</v>
      </c>
      <c r="C70" s="435"/>
      <c r="D70" s="196">
        <v>0.5</v>
      </c>
      <c r="E70" s="196">
        <v>0.1</v>
      </c>
      <c r="F70" s="196"/>
      <c r="G70" s="196"/>
      <c r="H70" s="196">
        <v>0.75</v>
      </c>
      <c r="I70" s="196"/>
      <c r="J70" s="196"/>
      <c r="K70" s="197"/>
    </row>
    <row r="71" spans="2:12" x14ac:dyDescent="0.2">
      <c r="B71" s="882" t="s">
        <v>257</v>
      </c>
      <c r="C71" s="435"/>
      <c r="D71" s="196">
        <v>0.51</v>
      </c>
      <c r="E71" s="196">
        <v>0.11</v>
      </c>
      <c r="F71" s="196"/>
      <c r="G71" s="196"/>
      <c r="H71" s="196">
        <v>0.65</v>
      </c>
      <c r="I71" s="196"/>
      <c r="J71" s="196"/>
      <c r="K71" s="197"/>
    </row>
    <row r="72" spans="2:12" x14ac:dyDescent="0.2">
      <c r="B72" s="882" t="s">
        <v>258</v>
      </c>
      <c r="C72" s="435"/>
      <c r="D72" s="196">
        <v>0.52</v>
      </c>
      <c r="E72" s="196">
        <v>0.12</v>
      </c>
      <c r="F72" s="196"/>
      <c r="G72" s="196"/>
      <c r="H72" s="196">
        <v>0.55000000000000004</v>
      </c>
      <c r="I72" s="196"/>
      <c r="J72" s="196"/>
      <c r="K72" s="197"/>
    </row>
    <row r="73" spans="2:12" x14ac:dyDescent="0.2">
      <c r="B73" s="882" t="s">
        <v>259</v>
      </c>
      <c r="C73" s="435"/>
      <c r="D73" s="198">
        <v>0.53</v>
      </c>
      <c r="E73" s="198">
        <v>0.13</v>
      </c>
      <c r="F73" s="198"/>
      <c r="G73" s="198"/>
      <c r="H73" s="198">
        <v>0.45</v>
      </c>
      <c r="I73" s="198"/>
      <c r="J73" s="198"/>
      <c r="K73" s="199"/>
    </row>
    <row r="74" spans="2:12" x14ac:dyDescent="0.2">
      <c r="B74" s="882" t="s">
        <v>260</v>
      </c>
      <c r="C74" s="435"/>
      <c r="D74" s="198">
        <v>0.54</v>
      </c>
      <c r="E74" s="198">
        <v>0.14000000000000001</v>
      </c>
      <c r="F74" s="198"/>
      <c r="G74" s="198"/>
      <c r="H74" s="198">
        <v>0.35</v>
      </c>
      <c r="I74" s="198"/>
      <c r="J74" s="198"/>
      <c r="K74" s="199"/>
    </row>
    <row r="75" spans="2:12" ht="13.5" thickBot="1" x14ac:dyDescent="0.25">
      <c r="B75" s="882" t="s">
        <v>467</v>
      </c>
      <c r="C75" s="332"/>
      <c r="D75" s="200">
        <v>0.55000000000000004</v>
      </c>
      <c r="E75" s="200">
        <v>0.15</v>
      </c>
      <c r="F75" s="200"/>
      <c r="G75" s="200"/>
      <c r="H75" s="200">
        <v>0.25</v>
      </c>
      <c r="I75" s="200"/>
      <c r="J75" s="200"/>
      <c r="K75" s="201"/>
    </row>
    <row r="78" spans="2:12" ht="13.5" thickBot="1" x14ac:dyDescent="0.25">
      <c r="H78" s="22"/>
      <c r="I78" s="22"/>
      <c r="J78" s="22"/>
      <c r="K78" s="22"/>
      <c r="L78" s="22"/>
    </row>
    <row r="79" spans="2:12" ht="13.5" thickTop="1" x14ac:dyDescent="0.2">
      <c r="B79" s="813" t="s">
        <v>581</v>
      </c>
      <c r="C79" s="710"/>
      <c r="D79" s="710"/>
      <c r="E79" s="710"/>
      <c r="F79" s="710"/>
      <c r="G79" s="710"/>
      <c r="H79" s="116"/>
      <c r="I79" s="116"/>
      <c r="J79" s="116"/>
      <c r="K79" s="116"/>
      <c r="L79" s="22"/>
    </row>
    <row r="80" spans="2:12" ht="13.5" thickBot="1" x14ac:dyDescent="0.25">
      <c r="B80" s="711"/>
      <c r="C80" s="711"/>
      <c r="D80" s="711"/>
      <c r="E80" s="711"/>
      <c r="F80" s="711"/>
      <c r="G80" s="711"/>
      <c r="H80" s="116"/>
      <c r="I80" s="116"/>
      <c r="J80" s="116"/>
      <c r="K80" s="116"/>
      <c r="L80" s="22"/>
    </row>
    <row r="81" spans="2:12" ht="14.25" x14ac:dyDescent="0.2">
      <c r="B81" s="932" t="s">
        <v>71</v>
      </c>
      <c r="C81" s="933" t="s">
        <v>70</v>
      </c>
      <c r="D81" s="936" t="s">
        <v>469</v>
      </c>
      <c r="E81" s="936"/>
      <c r="F81" s="936"/>
      <c r="G81" s="937"/>
      <c r="H81" s="22"/>
      <c r="I81" s="22"/>
      <c r="J81" s="22"/>
      <c r="K81" s="22"/>
      <c r="L81" s="22"/>
    </row>
    <row r="82" spans="2:12" x14ac:dyDescent="0.2">
      <c r="B82" s="727"/>
      <c r="C82" s="906"/>
      <c r="D82" s="630" t="s">
        <v>49</v>
      </c>
      <c r="E82" s="630"/>
      <c r="F82" s="630" t="s">
        <v>50</v>
      </c>
      <c r="G82" s="931"/>
    </row>
    <row r="83" spans="2:12" x14ac:dyDescent="0.2">
      <c r="B83" s="934" t="s">
        <v>468</v>
      </c>
      <c r="C83" s="935"/>
      <c r="D83" s="630"/>
      <c r="E83" s="630"/>
      <c r="F83" s="341"/>
      <c r="G83" s="340"/>
    </row>
    <row r="84" spans="2:12" x14ac:dyDescent="0.2">
      <c r="B84" s="284" t="s">
        <v>75</v>
      </c>
      <c r="C84" s="285"/>
      <c r="D84" s="315">
        <v>0.23799999999999999</v>
      </c>
      <c r="E84" s="315"/>
      <c r="F84" s="821">
        <v>0.3</v>
      </c>
      <c r="G84" s="794"/>
    </row>
    <row r="85" spans="2:12" x14ac:dyDescent="0.2">
      <c r="B85" s="284" t="s">
        <v>76</v>
      </c>
      <c r="C85" s="285"/>
      <c r="D85" s="315">
        <v>0.22900000000000001</v>
      </c>
      <c r="E85" s="315"/>
      <c r="F85" s="821">
        <v>0.31</v>
      </c>
      <c r="G85" s="794"/>
    </row>
    <row r="86" spans="2:12" x14ac:dyDescent="0.2">
      <c r="B86" s="284" t="s">
        <v>453</v>
      </c>
      <c r="C86" s="285"/>
      <c r="D86" s="315">
        <v>0.23499999999999999</v>
      </c>
      <c r="E86" s="315"/>
      <c r="F86" s="821">
        <v>0.32</v>
      </c>
      <c r="G86" s="794"/>
    </row>
    <row r="87" spans="2:12" ht="13.5" thickBot="1" x14ac:dyDescent="0.25">
      <c r="B87" s="287" t="s">
        <v>77</v>
      </c>
      <c r="C87" s="288"/>
      <c r="D87" s="562">
        <v>0.23499999999999999</v>
      </c>
      <c r="E87" s="562"/>
      <c r="F87" s="879">
        <v>0.33</v>
      </c>
      <c r="G87" s="797"/>
    </row>
  </sheetData>
  <mergeCells count="123">
    <mergeCell ref="B87:C87"/>
    <mergeCell ref="D87:E87"/>
    <mergeCell ref="F87:G87"/>
    <mergeCell ref="I8:M8"/>
    <mergeCell ref="I13:M13"/>
    <mergeCell ref="I18:M18"/>
    <mergeCell ref="B49:C49"/>
    <mergeCell ref="I25:M25"/>
    <mergeCell ref="I24:M24"/>
    <mergeCell ref="L45:M45"/>
    <mergeCell ref="L35:M35"/>
    <mergeCell ref="B37:C37"/>
    <mergeCell ref="B38:C38"/>
    <mergeCell ref="B39:C39"/>
    <mergeCell ref="B40:C40"/>
    <mergeCell ref="B35:C36"/>
    <mergeCell ref="D35:E35"/>
    <mergeCell ref="F35:G35"/>
    <mergeCell ref="H35:I35"/>
    <mergeCell ref="B41:C41"/>
    <mergeCell ref="B43:C45"/>
    <mergeCell ref="D33:K33"/>
    <mergeCell ref="D34:K34"/>
    <mergeCell ref="D43:K43"/>
    <mergeCell ref="B3:F4"/>
    <mergeCell ref="B5:B7"/>
    <mergeCell ref="F5:F7"/>
    <mergeCell ref="B8:F8"/>
    <mergeCell ref="B13:F13"/>
    <mergeCell ref="B18:F18"/>
    <mergeCell ref="P3:V4"/>
    <mergeCell ref="P5:P7"/>
    <mergeCell ref="V5:V7"/>
    <mergeCell ref="P8:V8"/>
    <mergeCell ref="I3:M4"/>
    <mergeCell ref="I5:I7"/>
    <mergeCell ref="M5:M7"/>
    <mergeCell ref="B31:K32"/>
    <mergeCell ref="B64:C64"/>
    <mergeCell ref="B58:C59"/>
    <mergeCell ref="D58:E58"/>
    <mergeCell ref="F58:G58"/>
    <mergeCell ref="H58:I58"/>
    <mergeCell ref="J58:K58"/>
    <mergeCell ref="B60:C60"/>
    <mergeCell ref="B47:C47"/>
    <mergeCell ref="D44:E44"/>
    <mergeCell ref="B42:K42"/>
    <mergeCell ref="B33:B34"/>
    <mergeCell ref="C33:C34"/>
    <mergeCell ref="J35:K35"/>
    <mergeCell ref="F44:G44"/>
    <mergeCell ref="H44:I44"/>
    <mergeCell ref="J44:K44"/>
    <mergeCell ref="D57:K57"/>
    <mergeCell ref="B50:C50"/>
    <mergeCell ref="B56:B57"/>
    <mergeCell ref="C56:C57"/>
    <mergeCell ref="B46:C46"/>
    <mergeCell ref="D56:K56"/>
    <mergeCell ref="B48:C48"/>
    <mergeCell ref="B74:C74"/>
    <mergeCell ref="B54:K55"/>
    <mergeCell ref="B67:C69"/>
    <mergeCell ref="D67:K67"/>
    <mergeCell ref="D68:E68"/>
    <mergeCell ref="F68:G68"/>
    <mergeCell ref="D81:G81"/>
    <mergeCell ref="B84:C84"/>
    <mergeCell ref="H68:I68"/>
    <mergeCell ref="J68:K68"/>
    <mergeCell ref="B61:C61"/>
    <mergeCell ref="B62:C62"/>
    <mergeCell ref="B63:C63"/>
    <mergeCell ref="B65:C65"/>
    <mergeCell ref="B66:K66"/>
    <mergeCell ref="B75:C75"/>
    <mergeCell ref="B79:G80"/>
    <mergeCell ref="D86:E86"/>
    <mergeCell ref="D82:E83"/>
    <mergeCell ref="F82:G83"/>
    <mergeCell ref="F84:G84"/>
    <mergeCell ref="F85:G85"/>
    <mergeCell ref="F86:G86"/>
    <mergeCell ref="B85:C85"/>
    <mergeCell ref="B86:C86"/>
    <mergeCell ref="AE22:AE23"/>
    <mergeCell ref="Z24:AA24"/>
    <mergeCell ref="Z25:AA25"/>
    <mergeCell ref="Z26:AA26"/>
    <mergeCell ref="Z27:AA27"/>
    <mergeCell ref="Y28:AE28"/>
    <mergeCell ref="Y29:AE29"/>
    <mergeCell ref="B81:B82"/>
    <mergeCell ref="C81:C82"/>
    <mergeCell ref="B83:C83"/>
    <mergeCell ref="B70:C70"/>
    <mergeCell ref="B71:C71"/>
    <mergeCell ref="B72:C72"/>
    <mergeCell ref="B73:C73"/>
    <mergeCell ref="D84:E84"/>
    <mergeCell ref="D85:E85"/>
    <mergeCell ref="AE7:AE8"/>
    <mergeCell ref="AB5:AE6"/>
    <mergeCell ref="Y3:AE4"/>
    <mergeCell ref="Y13:AE13"/>
    <mergeCell ref="Y14:AE14"/>
    <mergeCell ref="Y18:AE19"/>
    <mergeCell ref="Y20:Y23"/>
    <mergeCell ref="Z20:AA23"/>
    <mergeCell ref="AB20:AE21"/>
    <mergeCell ref="AB22:AB23"/>
    <mergeCell ref="AC22:AC23"/>
    <mergeCell ref="AD22:AD23"/>
    <mergeCell ref="Z9:AA9"/>
    <mergeCell ref="Z10:AA10"/>
    <mergeCell ref="Z11:AA11"/>
    <mergeCell ref="Z12:AA12"/>
    <mergeCell ref="Y5:Y8"/>
    <mergeCell ref="Z5:AA8"/>
    <mergeCell ref="AB7:AB8"/>
    <mergeCell ref="AC7:AC8"/>
    <mergeCell ref="AD7:AD8"/>
  </mergeCells>
  <dataValidations count="1">
    <dataValidation type="list" allowBlank="1" showInputMessage="1" showErrorMessage="1" sqref="C33 C81 C56" xr:uid="{00000000-0002-0000-0600-000000000000}">
      <formula1>Local</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75"/>
  <sheetViews>
    <sheetView topLeftCell="E45" workbookViewId="0">
      <selection activeCell="I62" sqref="I62"/>
    </sheetView>
  </sheetViews>
  <sheetFormatPr defaultRowHeight="12.75" x14ac:dyDescent="0.2"/>
  <cols>
    <col min="2" max="2" width="11.42578125" bestFit="1" customWidth="1"/>
    <col min="4" max="4" width="15.28515625" bestFit="1" customWidth="1"/>
    <col min="6" max="6" width="10.85546875" customWidth="1"/>
    <col min="8" max="8" width="20" bestFit="1" customWidth="1"/>
    <col min="10" max="10" width="17.85546875" customWidth="1"/>
    <col min="12" max="12" width="20" bestFit="1" customWidth="1"/>
  </cols>
  <sheetData>
    <row r="3" spans="2:12" x14ac:dyDescent="0.2">
      <c r="B3" s="8" t="s">
        <v>46</v>
      </c>
      <c r="D3" s="8" t="s">
        <v>52</v>
      </c>
      <c r="F3" s="5" t="s">
        <v>53</v>
      </c>
    </row>
    <row r="4" spans="2:12" x14ac:dyDescent="0.2">
      <c r="B4" s="9">
        <v>9</v>
      </c>
      <c r="D4" s="9">
        <v>0</v>
      </c>
      <c r="F4" s="1">
        <v>1</v>
      </c>
    </row>
    <row r="5" spans="2:12" x14ac:dyDescent="0.2">
      <c r="B5" s="9">
        <v>9.5</v>
      </c>
      <c r="D5" s="9">
        <v>1</v>
      </c>
      <c r="F5" s="1">
        <v>2</v>
      </c>
    </row>
    <row r="6" spans="2:12" x14ac:dyDescent="0.2">
      <c r="B6" s="9">
        <v>10</v>
      </c>
      <c r="D6" s="9">
        <v>2</v>
      </c>
      <c r="F6" s="1">
        <v>3</v>
      </c>
    </row>
    <row r="7" spans="2:12" x14ac:dyDescent="0.2">
      <c r="B7" s="9">
        <v>10.5</v>
      </c>
      <c r="D7" s="9">
        <v>3</v>
      </c>
      <c r="F7" s="1">
        <v>4</v>
      </c>
    </row>
    <row r="8" spans="2:12" x14ac:dyDescent="0.2">
      <c r="B8" s="9">
        <v>11</v>
      </c>
      <c r="D8" s="9">
        <v>4</v>
      </c>
      <c r="F8" s="1">
        <v>5</v>
      </c>
    </row>
    <row r="9" spans="2:12" x14ac:dyDescent="0.2">
      <c r="B9" s="9">
        <v>11.5</v>
      </c>
      <c r="D9" s="9">
        <v>5</v>
      </c>
      <c r="F9" s="1">
        <v>6</v>
      </c>
    </row>
    <row r="10" spans="2:12" x14ac:dyDescent="0.2">
      <c r="B10" s="9">
        <v>12</v>
      </c>
      <c r="D10" s="9">
        <v>6</v>
      </c>
      <c r="F10" s="1">
        <v>7</v>
      </c>
    </row>
    <row r="11" spans="2:12" x14ac:dyDescent="0.2">
      <c r="D11" s="9">
        <v>7</v>
      </c>
    </row>
    <row r="12" spans="2:12" x14ac:dyDescent="0.2">
      <c r="D12" s="9">
        <v>8</v>
      </c>
    </row>
    <row r="15" spans="2:12" x14ac:dyDescent="0.2">
      <c r="H15" s="5" t="s">
        <v>61</v>
      </c>
      <c r="J15" s="5" t="s">
        <v>63</v>
      </c>
      <c r="L15" s="5" t="s">
        <v>68</v>
      </c>
    </row>
    <row r="16" spans="2:12" x14ac:dyDescent="0.2">
      <c r="D16" s="5" t="s">
        <v>45</v>
      </c>
      <c r="F16" s="5" t="s">
        <v>58</v>
      </c>
      <c r="H16" s="5" t="s">
        <v>62</v>
      </c>
      <c r="J16" s="5" t="s">
        <v>64</v>
      </c>
      <c r="L16" s="27" t="s">
        <v>69</v>
      </c>
    </row>
    <row r="17" spans="4:12" x14ac:dyDescent="0.2">
      <c r="D17" s="9" t="s">
        <v>54</v>
      </c>
      <c r="F17" s="9" t="s">
        <v>59</v>
      </c>
      <c r="H17" s="9" t="s">
        <v>59</v>
      </c>
      <c r="J17" s="9" t="s">
        <v>59</v>
      </c>
      <c r="L17" s="27" t="s">
        <v>70</v>
      </c>
    </row>
    <row r="18" spans="4:12" x14ac:dyDescent="0.2">
      <c r="D18" s="9" t="s">
        <v>55</v>
      </c>
      <c r="F18" s="9" t="s">
        <v>60</v>
      </c>
      <c r="H18" s="9" t="s">
        <v>60</v>
      </c>
      <c r="J18" s="9" t="s">
        <v>66</v>
      </c>
    </row>
    <row r="19" spans="4:12" x14ac:dyDescent="0.2">
      <c r="D19" s="27" t="s">
        <v>56</v>
      </c>
      <c r="J19" s="9" t="s">
        <v>67</v>
      </c>
    </row>
    <row r="20" spans="4:12" x14ac:dyDescent="0.2">
      <c r="D20" s="9" t="s">
        <v>57</v>
      </c>
    </row>
    <row r="22" spans="4:12" x14ac:dyDescent="0.2">
      <c r="F22" s="5" t="s">
        <v>47</v>
      </c>
      <c r="H22" s="5" t="s">
        <v>48</v>
      </c>
      <c r="J22" s="5" t="s">
        <v>65</v>
      </c>
    </row>
    <row r="23" spans="4:12" x14ac:dyDescent="0.2">
      <c r="F23" s="9" t="s">
        <v>59</v>
      </c>
      <c r="H23" s="9" t="s">
        <v>59</v>
      </c>
      <c r="J23" s="9" t="s">
        <v>59</v>
      </c>
    </row>
    <row r="24" spans="4:12" x14ac:dyDescent="0.2">
      <c r="F24" s="9" t="s">
        <v>60</v>
      </c>
      <c r="H24" s="9" t="s">
        <v>60</v>
      </c>
      <c r="J24" s="9" t="s">
        <v>60</v>
      </c>
    </row>
    <row r="28" spans="4:12" x14ac:dyDescent="0.2">
      <c r="D28" s="27" t="s">
        <v>74</v>
      </c>
      <c r="F28" s="27" t="s">
        <v>78</v>
      </c>
      <c r="H28" s="27" t="s">
        <v>79</v>
      </c>
      <c r="J28" s="27" t="s">
        <v>80</v>
      </c>
      <c r="L28" s="5" t="s">
        <v>84</v>
      </c>
    </row>
    <row r="29" spans="4:12" x14ac:dyDescent="0.2">
      <c r="D29" s="27" t="s">
        <v>75</v>
      </c>
      <c r="F29" s="1">
        <v>0</v>
      </c>
      <c r="H29" s="1">
        <v>0</v>
      </c>
      <c r="J29" s="27" t="s">
        <v>59</v>
      </c>
      <c r="L29" s="27" t="s">
        <v>69</v>
      </c>
    </row>
    <row r="30" spans="4:12" x14ac:dyDescent="0.2">
      <c r="D30" s="27" t="s">
        <v>76</v>
      </c>
      <c r="F30" s="1">
        <v>1</v>
      </c>
      <c r="H30" s="1">
        <v>1</v>
      </c>
      <c r="J30" s="27" t="s">
        <v>60</v>
      </c>
      <c r="L30" s="27" t="s">
        <v>70</v>
      </c>
    </row>
    <row r="31" spans="4:12" x14ac:dyDescent="0.2">
      <c r="D31" s="27" t="s">
        <v>77</v>
      </c>
      <c r="F31" s="1">
        <v>2</v>
      </c>
      <c r="H31" s="1">
        <v>2</v>
      </c>
    </row>
    <row r="32" spans="4:12" x14ac:dyDescent="0.2">
      <c r="F32" s="1">
        <v>3</v>
      </c>
      <c r="H32" s="1">
        <v>3</v>
      </c>
    </row>
    <row r="33" spans="4:12" x14ac:dyDescent="0.2">
      <c r="F33" s="1">
        <v>4</v>
      </c>
      <c r="H33" s="1">
        <v>4</v>
      </c>
    </row>
    <row r="36" spans="4:12" x14ac:dyDescent="0.2">
      <c r="D36" s="5" t="s">
        <v>91</v>
      </c>
      <c r="F36" s="5" t="s">
        <v>94</v>
      </c>
      <c r="H36" s="5" t="s">
        <v>98</v>
      </c>
      <c r="J36" s="5" t="s">
        <v>105</v>
      </c>
      <c r="L36" s="5" t="s">
        <v>109</v>
      </c>
    </row>
    <row r="37" spans="4:12" x14ac:dyDescent="0.2">
      <c r="D37" s="1">
        <v>10</v>
      </c>
      <c r="F37" s="27" t="s">
        <v>92</v>
      </c>
      <c r="H37" s="27" t="s">
        <v>99</v>
      </c>
      <c r="J37" s="9">
        <v>0</v>
      </c>
      <c r="L37" s="1">
        <v>0</v>
      </c>
    </row>
    <row r="38" spans="4:12" x14ac:dyDescent="0.2">
      <c r="D38" s="1">
        <v>20</v>
      </c>
      <c r="F38" s="27" t="s">
        <v>93</v>
      </c>
      <c r="H38" s="78" t="s">
        <v>100</v>
      </c>
      <c r="J38" s="9">
        <v>1</v>
      </c>
      <c r="L38" s="1">
        <v>1</v>
      </c>
    </row>
    <row r="39" spans="4:12" x14ac:dyDescent="0.2">
      <c r="D39" s="1">
        <v>30</v>
      </c>
      <c r="F39" s="1"/>
      <c r="H39" s="79" t="s">
        <v>101</v>
      </c>
      <c r="J39" s="9">
        <v>2</v>
      </c>
      <c r="L39" s="1">
        <v>2</v>
      </c>
    </row>
    <row r="40" spans="4:12" x14ac:dyDescent="0.2">
      <c r="D40" s="1">
        <v>40</v>
      </c>
      <c r="F40" s="1"/>
      <c r="H40" s="79" t="s">
        <v>102</v>
      </c>
      <c r="J40" s="9">
        <v>3</v>
      </c>
    </row>
    <row r="41" spans="4:12" x14ac:dyDescent="0.2">
      <c r="D41" s="1">
        <v>50</v>
      </c>
      <c r="F41" s="1"/>
      <c r="H41" s="79" t="s">
        <v>103</v>
      </c>
      <c r="J41" s="9">
        <v>4</v>
      </c>
    </row>
    <row r="42" spans="4:12" x14ac:dyDescent="0.2">
      <c r="D42" s="1">
        <v>60</v>
      </c>
      <c r="F42" s="1"/>
      <c r="J42" s="9">
        <v>5</v>
      </c>
    </row>
    <row r="43" spans="4:12" x14ac:dyDescent="0.2">
      <c r="D43" s="1">
        <v>70</v>
      </c>
      <c r="F43" s="1"/>
      <c r="J43" s="9">
        <v>6</v>
      </c>
    </row>
    <row r="44" spans="4:12" x14ac:dyDescent="0.2">
      <c r="D44" s="1">
        <v>80</v>
      </c>
      <c r="F44" s="1"/>
      <c r="J44" s="9">
        <v>7</v>
      </c>
    </row>
    <row r="45" spans="4:12" x14ac:dyDescent="0.2">
      <c r="D45" s="1">
        <v>90</v>
      </c>
      <c r="F45" s="1"/>
      <c r="J45" s="9">
        <v>8</v>
      </c>
    </row>
    <row r="46" spans="4:12" x14ac:dyDescent="0.2">
      <c r="D46" s="1">
        <v>100</v>
      </c>
      <c r="J46" s="27">
        <v>9</v>
      </c>
    </row>
    <row r="47" spans="4:12" x14ac:dyDescent="0.2">
      <c r="J47" s="27">
        <v>10</v>
      </c>
    </row>
    <row r="51" spans="4:14" x14ac:dyDescent="0.2">
      <c r="D51" s="93" t="s">
        <v>164</v>
      </c>
    </row>
    <row r="54" spans="4:14" x14ac:dyDescent="0.2">
      <c r="D54" s="5" t="s">
        <v>165</v>
      </c>
      <c r="F54" s="5" t="s">
        <v>168</v>
      </c>
      <c r="H54" s="5" t="s">
        <v>169</v>
      </c>
      <c r="J54" s="5" t="s">
        <v>186</v>
      </c>
      <c r="L54" s="5" t="s">
        <v>194</v>
      </c>
      <c r="N54" s="8" t="s">
        <v>342</v>
      </c>
    </row>
    <row r="55" spans="4:14" x14ac:dyDescent="0.2">
      <c r="D55" s="27" t="s">
        <v>167</v>
      </c>
      <c r="F55" s="27" t="s">
        <v>59</v>
      </c>
      <c r="H55" s="9" t="s">
        <v>59</v>
      </c>
      <c r="J55" s="27" t="s">
        <v>170</v>
      </c>
      <c r="L55" s="1">
        <v>2</v>
      </c>
      <c r="N55" t="s">
        <v>340</v>
      </c>
    </row>
    <row r="56" spans="4:14" x14ac:dyDescent="0.2">
      <c r="D56" s="27" t="s">
        <v>166</v>
      </c>
      <c r="F56" s="1">
        <v>10</v>
      </c>
      <c r="H56" s="9" t="s">
        <v>60</v>
      </c>
      <c r="J56" s="27" t="s">
        <v>182</v>
      </c>
      <c r="L56" s="1">
        <v>5</v>
      </c>
      <c r="N56" t="s">
        <v>341</v>
      </c>
    </row>
    <row r="57" spans="4:14" x14ac:dyDescent="0.2">
      <c r="D57" s="27" t="s">
        <v>104</v>
      </c>
      <c r="F57" s="1">
        <v>15</v>
      </c>
      <c r="J57" s="26" t="s">
        <v>183</v>
      </c>
      <c r="L57" s="1">
        <v>10</v>
      </c>
    </row>
    <row r="58" spans="4:14" x14ac:dyDescent="0.2">
      <c r="D58" s="27" t="s">
        <v>107</v>
      </c>
      <c r="F58" s="1">
        <v>20</v>
      </c>
      <c r="J58" s="27" t="s">
        <v>184</v>
      </c>
      <c r="L58" s="1">
        <v>15</v>
      </c>
    </row>
    <row r="59" spans="4:14" x14ac:dyDescent="0.2">
      <c r="D59" s="27" t="s">
        <v>181</v>
      </c>
      <c r="F59" s="1">
        <v>30</v>
      </c>
      <c r="J59" s="27" t="s">
        <v>185</v>
      </c>
      <c r="L59" s="1">
        <v>20</v>
      </c>
    </row>
    <row r="60" spans="4:14" x14ac:dyDescent="0.2">
      <c r="F60" s="1">
        <v>40</v>
      </c>
      <c r="L60" s="1">
        <v>25</v>
      </c>
    </row>
    <row r="61" spans="4:14" x14ac:dyDescent="0.2">
      <c r="F61" s="1">
        <v>50</v>
      </c>
      <c r="L61" s="27" t="s">
        <v>195</v>
      </c>
    </row>
    <row r="62" spans="4:14" x14ac:dyDescent="0.2">
      <c r="F62" s="1">
        <v>60</v>
      </c>
    </row>
    <row r="63" spans="4:14" x14ac:dyDescent="0.2">
      <c r="F63" s="1">
        <v>70</v>
      </c>
    </row>
    <row r="64" spans="4:14" x14ac:dyDescent="0.2">
      <c r="F64" s="1">
        <v>80</v>
      </c>
    </row>
    <row r="65" spans="4:12" x14ac:dyDescent="0.2">
      <c r="F65" s="1">
        <v>90</v>
      </c>
    </row>
    <row r="66" spans="4:12" x14ac:dyDescent="0.2">
      <c r="F66" s="1">
        <v>100</v>
      </c>
    </row>
    <row r="70" spans="4:12" x14ac:dyDescent="0.2">
      <c r="D70" s="5" t="s">
        <v>365</v>
      </c>
      <c r="F70" s="5" t="s">
        <v>484</v>
      </c>
      <c r="H70" s="5" t="s">
        <v>485</v>
      </c>
      <c r="J70" s="5" t="s">
        <v>492</v>
      </c>
      <c r="L70" s="5" t="s">
        <v>493</v>
      </c>
    </row>
    <row r="71" spans="4:12" x14ac:dyDescent="0.2">
      <c r="D71" s="1">
        <v>0</v>
      </c>
      <c r="F71" s="27" t="s">
        <v>75</v>
      </c>
      <c r="H71" s="26" t="s">
        <v>364</v>
      </c>
      <c r="J71" s="1">
        <v>0</v>
      </c>
      <c r="L71" s="26" t="s">
        <v>494</v>
      </c>
    </row>
    <row r="72" spans="4:12" x14ac:dyDescent="0.2">
      <c r="D72" s="1">
        <v>1</v>
      </c>
      <c r="F72" s="27" t="s">
        <v>453</v>
      </c>
      <c r="H72" s="26" t="s">
        <v>486</v>
      </c>
      <c r="J72" s="1">
        <v>1</v>
      </c>
      <c r="L72" s="26" t="s">
        <v>364</v>
      </c>
    </row>
    <row r="73" spans="4:12" x14ac:dyDescent="0.2">
      <c r="D73" s="1">
        <v>2</v>
      </c>
      <c r="F73" s="27" t="s">
        <v>76</v>
      </c>
      <c r="H73" s="26" t="s">
        <v>487</v>
      </c>
      <c r="J73" s="1">
        <v>2</v>
      </c>
      <c r="L73" s="26" t="s">
        <v>486</v>
      </c>
    </row>
    <row r="74" spans="4:12" x14ac:dyDescent="0.2">
      <c r="D74" s="1">
        <v>3</v>
      </c>
      <c r="F74" s="27" t="s">
        <v>77</v>
      </c>
      <c r="H74" s="26" t="s">
        <v>488</v>
      </c>
      <c r="L74" s="26" t="s">
        <v>487</v>
      </c>
    </row>
    <row r="75" spans="4:12" x14ac:dyDescent="0.2">
      <c r="D75" s="1">
        <v>4</v>
      </c>
      <c r="L75" s="26" t="s">
        <v>488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745D4F-5820-43F8-B3AF-83BB11E83A0D}"/>
</file>

<file path=customXml/itemProps2.xml><?xml version="1.0" encoding="utf-8"?>
<ds:datastoreItem xmlns:ds="http://schemas.openxmlformats.org/officeDocument/2006/customXml" ds:itemID="{B4109A6F-809B-463B-B548-A3190BE0F0DB}"/>
</file>

<file path=customXml/itemProps3.xml><?xml version="1.0" encoding="utf-8"?>
<ds:datastoreItem xmlns:ds="http://schemas.openxmlformats.org/officeDocument/2006/customXml" ds:itemID="{A45A494B-42DB-45FB-BC20-A3560920A2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41</vt:i4>
      </vt:variant>
    </vt:vector>
  </HeadingPairs>
  <TitlesOfParts>
    <vt:vector size="49"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vt:lpstr>
      <vt:lpstr>OnStreetType</vt:lpstr>
      <vt:lpstr>Phasing</vt:lpstr>
      <vt:lpstr>Phasing2</vt:lpstr>
      <vt:lpstr>PLane</vt:lpstr>
      <vt:lpstr>PLane2</vt:lpstr>
      <vt:lpstr>Posted</vt:lpstr>
      <vt:lpstr>PresOrNot</vt:lpstr>
      <vt:lpstr>Intersection_1!Print_Area</vt:lpstr>
      <vt:lpstr>Segment_1!Print_Area</vt:lpstr>
      <vt:lpstr>'Summary Tables (Project Total)'!Print_Area</vt:lpstr>
      <vt:lpstr>'Summary Tables (Site Totals)'!Print_Area</vt:lpstr>
      <vt:lpstr>Pspeed</vt:lpstr>
      <vt:lpstr>RApproach</vt:lpstr>
      <vt:lpstr>RHR</vt:lpstr>
      <vt:lpstr>RType</vt:lpstr>
      <vt:lpstr>Shld2</vt:lpstr>
      <vt:lpstr>SpEnforce</vt:lpstr>
      <vt:lpstr>Spiral</vt:lpstr>
      <vt:lpstr>SSlope</vt:lpstr>
      <vt:lpstr>SType</vt:lpstr>
      <vt:lpstr>SWidth</vt:lpstr>
      <vt:lpstr>TLanes</vt:lpstr>
      <vt:lpstr>TWLTL</vt:lpstr>
      <vt:lpstr>UMedian</vt:lpstr>
      <vt:lpstr>UMedian2</vt:lpstr>
      <vt:lpstr>UMedWidth</vt:lpstr>
      <vt:lpstr>UnsigApproach</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Kelly Hardy</cp:lastModifiedBy>
  <cp:lastPrinted>2010-11-22T18:15:00Z</cp:lastPrinted>
  <dcterms:created xsi:type="dcterms:W3CDTF">2009-11-22T21:24:43Z</dcterms:created>
  <dcterms:modified xsi:type="dcterms:W3CDTF">2019-09-11T14:19:42Z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